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000" windowHeight="9840"/>
  </bookViews>
  <sheets>
    <sheet name="分配总表" sheetId="2" r:id="rId1"/>
    <sheet name="测算总表" sheetId="3" r:id="rId2"/>
    <sheet name="公用经费" sheetId="4" r:id="rId3"/>
    <sheet name="生活补助测算" sheetId="5" r:id="rId4"/>
    <sheet name="校舍测算" sheetId="6" r:id="rId5"/>
  </sheets>
  <definedNames>
    <definedName name="_xlnm.Print_Area" localSheetId="4">校舍测算!$A$1:$M$11</definedName>
  </definedNames>
  <calcPr calcId="125725" calcMode="manual"/>
</workbook>
</file>

<file path=xl/calcChain.xml><?xml version="1.0" encoding="utf-8"?>
<calcChain xmlns="http://schemas.openxmlformats.org/spreadsheetml/2006/main">
  <c r="G11" i="6"/>
  <c r="B11"/>
  <c r="G10"/>
  <c r="B10"/>
  <c r="L9"/>
  <c r="K9"/>
  <c r="G9"/>
  <c r="B9"/>
  <c r="M8"/>
  <c r="L8"/>
  <c r="K8"/>
  <c r="G8"/>
  <c r="B8"/>
  <c r="M7"/>
  <c r="L7"/>
  <c r="K7"/>
  <c r="G7"/>
  <c r="B7"/>
  <c r="M6"/>
  <c r="L6"/>
  <c r="K6"/>
  <c r="J6"/>
  <c r="I6"/>
  <c r="H6"/>
  <c r="G6"/>
  <c r="F6"/>
  <c r="E6"/>
  <c r="D6"/>
  <c r="C6"/>
  <c r="B6"/>
  <c r="U13" i="5"/>
  <c r="T13"/>
  <c r="S13"/>
  <c r="R13"/>
  <c r="Q13"/>
  <c r="M13"/>
  <c r="U12"/>
  <c r="T12"/>
  <c r="S12"/>
  <c r="R12"/>
  <c r="Q12"/>
  <c r="M12"/>
  <c r="H12"/>
  <c r="U11"/>
  <c r="T11"/>
  <c r="S11"/>
  <c r="R11"/>
  <c r="Q11"/>
  <c r="M11"/>
  <c r="U10"/>
  <c r="T10"/>
  <c r="S10"/>
  <c r="R10"/>
  <c r="Q10"/>
  <c r="P10"/>
  <c r="M10"/>
  <c r="K10"/>
  <c r="J10"/>
  <c r="I10"/>
  <c r="H10"/>
  <c r="U9"/>
  <c r="T9"/>
  <c r="S9"/>
  <c r="R9"/>
  <c r="Q9"/>
  <c r="M9"/>
  <c r="H9"/>
  <c r="U8"/>
  <c r="T8"/>
  <c r="S8"/>
  <c r="R8"/>
  <c r="Q8"/>
  <c r="M8"/>
  <c r="H8"/>
  <c r="U7"/>
  <c r="T7"/>
  <c r="S7"/>
  <c r="R7"/>
  <c r="Q7"/>
  <c r="M7"/>
  <c r="H7"/>
  <c r="U6"/>
  <c r="T6"/>
  <c r="S6"/>
  <c r="R6"/>
  <c r="Q6"/>
  <c r="P6"/>
  <c r="O6"/>
  <c r="N6"/>
  <c r="M6"/>
  <c r="L6"/>
  <c r="K6"/>
  <c r="J6"/>
  <c r="I6"/>
  <c r="H6"/>
  <c r="V12" i="4"/>
  <c r="U12"/>
  <c r="T12"/>
  <c r="S12"/>
  <c r="P12"/>
  <c r="O12"/>
  <c r="B12"/>
  <c r="U11"/>
  <c r="T11"/>
  <c r="P11"/>
  <c r="O11"/>
  <c r="V10"/>
  <c r="U10"/>
  <c r="T10"/>
  <c r="S10"/>
  <c r="P10"/>
  <c r="O10"/>
  <c r="V9"/>
  <c r="U9"/>
  <c r="T9"/>
  <c r="S9"/>
  <c r="R9"/>
  <c r="P9"/>
  <c r="O9"/>
  <c r="K9"/>
  <c r="I9"/>
  <c r="H9"/>
  <c r="F9"/>
  <c r="E9"/>
  <c r="D9"/>
  <c r="C9"/>
  <c r="B9"/>
  <c r="V8"/>
  <c r="U8"/>
  <c r="T8"/>
  <c r="S8"/>
  <c r="P8"/>
  <c r="O8"/>
  <c r="J8"/>
  <c r="B8"/>
  <c r="W7"/>
  <c r="V7"/>
  <c r="U7"/>
  <c r="T7"/>
  <c r="S7"/>
  <c r="P7"/>
  <c r="O7"/>
  <c r="L7"/>
  <c r="K7"/>
  <c r="J7"/>
  <c r="I7"/>
  <c r="H7"/>
  <c r="G7"/>
  <c r="E7"/>
  <c r="D7"/>
  <c r="C7"/>
  <c r="B7"/>
  <c r="W6"/>
  <c r="V6"/>
  <c r="U6"/>
  <c r="T6"/>
  <c r="S6"/>
  <c r="P6"/>
  <c r="O6"/>
  <c r="J6"/>
  <c r="B6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B5"/>
  <c r="F12" i="3"/>
  <c r="E12"/>
  <c r="D12"/>
  <c r="C12"/>
  <c r="B12"/>
  <c r="F11"/>
  <c r="E11"/>
  <c r="D11"/>
  <c r="C11"/>
  <c r="B11"/>
  <c r="F10"/>
  <c r="E10"/>
  <c r="D10"/>
  <c r="C10"/>
  <c r="B10"/>
  <c r="F9"/>
  <c r="E9"/>
  <c r="D9"/>
  <c r="C9"/>
  <c r="B9"/>
  <c r="F8"/>
  <c r="E8"/>
  <c r="D8"/>
  <c r="C8"/>
  <c r="B8"/>
  <c r="F7"/>
  <c r="E7"/>
  <c r="D7"/>
  <c r="C7"/>
  <c r="B7"/>
  <c r="F6"/>
  <c r="E6"/>
  <c r="D6"/>
  <c r="C6"/>
  <c r="B6"/>
  <c r="F5"/>
  <c r="E5"/>
  <c r="D5"/>
  <c r="C5"/>
  <c r="B5"/>
  <c r="J12" i="2"/>
  <c r="O12" s="1"/>
  <c r="I12"/>
  <c r="M12" s="1"/>
  <c r="H12"/>
  <c r="G12" s="1"/>
  <c r="J11"/>
  <c r="O11" s="1"/>
  <c r="I11"/>
  <c r="M11" s="1"/>
  <c r="H11"/>
  <c r="L11" s="1"/>
  <c r="J10"/>
  <c r="O10" s="1"/>
  <c r="I10"/>
  <c r="M10" s="1"/>
  <c r="H10"/>
  <c r="G10" s="1"/>
  <c r="J9"/>
  <c r="O9" s="1"/>
  <c r="I9"/>
  <c r="M9" s="1"/>
  <c r="H9"/>
  <c r="L9" s="1"/>
  <c r="J8"/>
  <c r="O8" s="1"/>
  <c r="I8"/>
  <c r="M8" s="1"/>
  <c r="H8"/>
  <c r="G8" s="1"/>
  <c r="J7"/>
  <c r="O7" s="1"/>
  <c r="I7"/>
  <c r="M7" s="1"/>
  <c r="H7"/>
  <c r="L7" s="1"/>
  <c r="J6"/>
  <c r="O6" s="1"/>
  <c r="O5" s="1"/>
  <c r="I6"/>
  <c r="M6" s="1"/>
  <c r="M5" s="1"/>
  <c r="H6"/>
  <c r="G6" s="1"/>
  <c r="J5"/>
  <c r="I5"/>
  <c r="H5"/>
  <c r="L5" s="1"/>
  <c r="N5" s="1"/>
  <c r="K5" s="1"/>
  <c r="G5"/>
  <c r="N7" l="1"/>
  <c r="K7" s="1"/>
  <c r="N9"/>
  <c r="K9" s="1"/>
  <c r="L6"/>
  <c r="N6" s="1"/>
  <c r="K6" s="1"/>
  <c r="G7"/>
  <c r="L8"/>
  <c r="N8" s="1"/>
  <c r="K8" s="1"/>
  <c r="G9"/>
  <c r="L10"/>
  <c r="N10" s="1"/>
  <c r="G11"/>
  <c r="L12"/>
  <c r="N12" s="1"/>
  <c r="K12" s="1"/>
</calcChain>
</file>

<file path=xl/sharedStrings.xml><?xml version="1.0" encoding="utf-8"?>
<sst xmlns="http://schemas.openxmlformats.org/spreadsheetml/2006/main" count="162" uniqueCount="50">
  <si>
    <t>附件1：</t>
  </si>
  <si>
    <t>2020年城乡义务教育经费保障机制资金分配总表</t>
  </si>
  <si>
    <t>市县名称</t>
  </si>
  <si>
    <t>总计</t>
  </si>
  <si>
    <t>提前已下达（万元）</t>
  </si>
  <si>
    <t>此次下达资金数（万元）</t>
  </si>
  <si>
    <t>小计</t>
  </si>
  <si>
    <t>中央</t>
  </si>
  <si>
    <t>省级</t>
  </si>
  <si>
    <t>市级</t>
  </si>
  <si>
    <t>县级</t>
  </si>
  <si>
    <t>上级</t>
  </si>
  <si>
    <t>市本级及所辖区小计</t>
  </si>
  <si>
    <t>资阳区</t>
  </si>
  <si>
    <t>赫山区</t>
  </si>
  <si>
    <t>大通湖区</t>
  </si>
  <si>
    <t>市本级小计</t>
  </si>
  <si>
    <t>朝阳国际实验学校</t>
  </si>
  <si>
    <t>益师艺术学校</t>
  </si>
  <si>
    <t>市特校</t>
  </si>
  <si>
    <t>附件2：</t>
  </si>
  <si>
    <t>2020年城乡义务教育经费保障机制资金测算总表</t>
  </si>
  <si>
    <t>公用经费补助资金</t>
  </si>
  <si>
    <t>家庭经济困难寄宿生生活补助资金</t>
  </si>
  <si>
    <t>校舍安全保障资金</t>
  </si>
  <si>
    <t>附件3：</t>
  </si>
  <si>
    <t>2020年义务教育阶段公用经费补助资金分配表</t>
  </si>
  <si>
    <t>市县</t>
  </si>
  <si>
    <t>2019年学生人数</t>
  </si>
  <si>
    <t>2019年寄宿生人数</t>
  </si>
  <si>
    <t xml:space="preserve">2020年各级应分担资金 （万元）                                      </t>
  </si>
  <si>
    <t>普通小学</t>
  </si>
  <si>
    <t>普通初中</t>
  </si>
  <si>
    <t>特教小学</t>
  </si>
  <si>
    <t>特教初中</t>
  </si>
  <si>
    <t>小学</t>
  </si>
  <si>
    <t>初中</t>
  </si>
  <si>
    <t>合计</t>
  </si>
  <si>
    <t>附件4：</t>
  </si>
  <si>
    <t>2020年义务教育阶段家庭经济困难学生生活费补助分配表</t>
  </si>
  <si>
    <t>补助比例</t>
  </si>
  <si>
    <t>城乡义务教育学生总人数</t>
  </si>
  <si>
    <t>全年应安排学生生活费
补助资金（万元）</t>
  </si>
  <si>
    <t>附件5：</t>
  </si>
  <si>
    <t>2020年义务教育学校校舍安全保障长效机制资金分配表</t>
  </si>
  <si>
    <t>全年资金（万元）</t>
  </si>
  <si>
    <t>日常维修和抗震加固资金</t>
  </si>
  <si>
    <t>大通湖管理区</t>
  </si>
  <si>
    <t>市县
名称</t>
    <phoneticPr fontId="6" type="noConversion"/>
  </si>
  <si>
    <t>朝阳国际根据学生人数测算，应安排一补资金26万元，但根据巡察整改意见，该校只能根据建档立卡学生人数拨付一补资金，2020年年初学校预计发放建档立卡学生一补资金5.5万元，但该校全年实际发放建档立卡学生一补资金2万元；市特校应安排一补资金22万元，扣除以前年度结余结转资金9万元，实际安排一补资金13万元。</t>
    <phoneticPr fontId="6" type="noConversion"/>
  </si>
</sst>
</file>

<file path=xl/styles.xml><?xml version="1.0" encoding="utf-8"?>
<styleSheet xmlns="http://schemas.openxmlformats.org/spreadsheetml/2006/main">
  <numFmts count="8">
    <numFmt numFmtId="176" formatCode="0.0_ ;[Red]\-0.0\ "/>
    <numFmt numFmtId="177" formatCode="0_ "/>
    <numFmt numFmtId="178" formatCode="0_);[Red]\(0\)"/>
    <numFmt numFmtId="179" formatCode="0_ ;[Red]\-0\ "/>
    <numFmt numFmtId="180" formatCode="0.0_ "/>
    <numFmt numFmtId="181" formatCode="0.0_);[Red]\(0.0\)"/>
    <numFmt numFmtId="182" formatCode="0.00_);[Red]\(0.00\)"/>
    <numFmt numFmtId="183" formatCode="0.00_ "/>
  </numFmts>
  <fonts count="27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0"/>
      <name val="宋体"/>
      <charset val="134"/>
      <scheme val="major"/>
    </font>
    <font>
      <sz val="9"/>
      <name val="黑体"/>
      <charset val="134"/>
    </font>
    <font>
      <sz val="9"/>
      <name val="宋体"/>
      <charset val="134"/>
      <scheme val="major"/>
    </font>
    <font>
      <b/>
      <sz val="9"/>
      <name val="宋体"/>
      <charset val="134"/>
      <scheme val="maj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134"/>
      <scheme val="minor"/>
    </font>
    <font>
      <sz val="13"/>
      <color theme="1"/>
      <name val="黑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  <font>
      <b/>
      <sz val="10"/>
      <name val="宋体"/>
      <family val="3"/>
      <charset val="134"/>
    </font>
    <font>
      <sz val="9"/>
      <name val="黑体"/>
      <family val="3"/>
      <charset val="134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ajor"/>
    </font>
    <font>
      <sz val="10"/>
      <color rgb="FFFF0000"/>
      <name val="宋体"/>
      <family val="3"/>
      <charset val="134"/>
      <scheme val="minor"/>
    </font>
    <font>
      <sz val="10"/>
      <name val="黑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5" fillId="6" borderId="0" applyNumberFormat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5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8" fontId="7" fillId="0" borderId="0" xfId="0" applyNumberFormat="1" applyFont="1">
      <alignment vertical="center"/>
    </xf>
    <xf numFmtId="182" fontId="9" fillId="0" borderId="1" xfId="0" applyNumberFormat="1" applyFont="1" applyFill="1" applyBorder="1" applyAlignment="1">
      <alignment horizontal="center" vertical="center" wrapText="1"/>
    </xf>
    <xf numFmtId="182" fontId="10" fillId="0" borderId="1" xfId="0" applyNumberFormat="1" applyFont="1" applyFill="1" applyBorder="1" applyAlignment="1">
      <alignment horizontal="center" vertical="center" wrapText="1"/>
    </xf>
    <xf numFmtId="183" fontId="9" fillId="0" borderId="1" xfId="0" applyNumberFormat="1" applyFont="1" applyFill="1" applyBorder="1" applyAlignment="1">
      <alignment horizontal="center" vertical="center" wrapText="1"/>
    </xf>
    <xf numFmtId="183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2" fillId="0" borderId="0" xfId="1">
      <alignment vertical="center"/>
    </xf>
    <xf numFmtId="0" fontId="11" fillId="0" borderId="1" xfId="1" applyFont="1" applyBorder="1" applyAlignment="1">
      <alignment horizontal="center" vertical="center" wrapText="1"/>
    </xf>
    <xf numFmtId="178" fontId="11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/>
    </xf>
    <xf numFmtId="0" fontId="2" fillId="0" borderId="1" xfId="1" applyFont="1" applyFill="1" applyBorder="1" applyAlignment="1">
      <alignment horizontal="left" vertical="center" wrapText="1"/>
    </xf>
    <xf numFmtId="183" fontId="5" fillId="0" borderId="1" xfId="1" applyNumberFormat="1" applyFont="1" applyFill="1" applyBorder="1" applyAlignment="1">
      <alignment horizontal="center" vertical="center"/>
    </xf>
    <xf numFmtId="183" fontId="4" fillId="0" borderId="1" xfId="1" applyNumberFormat="1" applyFont="1" applyFill="1" applyBorder="1" applyAlignment="1">
      <alignment horizontal="center" vertical="center"/>
    </xf>
    <xf numFmtId="0" fontId="16" fillId="0" borderId="0" xfId="1" applyFont="1">
      <alignment vertical="center"/>
    </xf>
    <xf numFmtId="182" fontId="17" fillId="0" borderId="1" xfId="0" applyNumberFormat="1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/>
    </xf>
    <xf numFmtId="178" fontId="17" fillId="0" borderId="1" xfId="0" applyNumberFormat="1" applyFont="1" applyBorder="1" applyAlignment="1">
      <alignment horizontal="center" vertical="center" wrapText="1"/>
    </xf>
    <xf numFmtId="182" fontId="17" fillId="0" borderId="1" xfId="0" applyNumberFormat="1" applyFont="1" applyBorder="1" applyAlignment="1">
      <alignment horizontal="center" vertical="center" wrapText="1"/>
    </xf>
    <xf numFmtId="181" fontId="18" fillId="0" borderId="1" xfId="0" applyNumberFormat="1" applyFont="1" applyFill="1" applyBorder="1" applyAlignment="1">
      <alignment horizontal="center" vertical="center"/>
    </xf>
    <xf numFmtId="177" fontId="18" fillId="2" borderId="1" xfId="0" applyNumberFormat="1" applyFont="1" applyFill="1" applyBorder="1" applyAlignment="1">
      <alignment horizontal="center" vertical="center" wrapText="1"/>
    </xf>
    <xf numFmtId="178" fontId="19" fillId="0" borderId="1" xfId="0" applyNumberFormat="1" applyFont="1" applyBorder="1" applyAlignment="1">
      <alignment horizontal="center" vertical="center" wrapText="1"/>
    </xf>
    <xf numFmtId="181" fontId="19" fillId="0" borderId="1" xfId="0" applyNumberFormat="1" applyFont="1" applyBorder="1" applyAlignment="1">
      <alignment horizontal="center" vertical="center" wrapText="1"/>
    </xf>
    <xf numFmtId="179" fontId="19" fillId="0" borderId="1" xfId="0" applyNumberFormat="1" applyFont="1" applyBorder="1" applyAlignment="1">
      <alignment horizontal="center" vertical="center" wrapText="1"/>
    </xf>
    <xf numFmtId="182" fontId="19" fillId="0" borderId="11" xfId="0" applyNumberFormat="1" applyFont="1" applyBorder="1" applyAlignment="1">
      <alignment horizontal="center" vertical="center" wrapText="1"/>
    </xf>
    <xf numFmtId="182" fontId="19" fillId="0" borderId="9" xfId="0" applyNumberFormat="1" applyFont="1" applyBorder="1" applyAlignment="1">
      <alignment horizontal="center" vertical="center" wrapText="1"/>
    </xf>
    <xf numFmtId="181" fontId="19" fillId="0" borderId="11" xfId="0" applyNumberFormat="1" applyFont="1" applyBorder="1" applyAlignment="1">
      <alignment horizontal="center" vertical="center" wrapText="1"/>
    </xf>
    <xf numFmtId="181" fontId="19" fillId="0" borderId="9" xfId="0" applyNumberFormat="1" applyFont="1" applyBorder="1" applyAlignment="1">
      <alignment horizontal="center" vertical="center" wrapText="1"/>
    </xf>
    <xf numFmtId="178" fontId="19" fillId="0" borderId="9" xfId="0" applyNumberFormat="1" applyFont="1" applyBorder="1" applyAlignment="1">
      <alignment horizontal="center" vertical="center" wrapText="1"/>
    </xf>
    <xf numFmtId="179" fontId="19" fillId="0" borderId="11" xfId="0" applyNumberFormat="1" applyFont="1" applyBorder="1" applyAlignment="1">
      <alignment horizontal="center" vertical="center" wrapText="1"/>
    </xf>
    <xf numFmtId="179" fontId="19" fillId="0" borderId="9" xfId="0" applyNumberFormat="1" applyFont="1" applyBorder="1" applyAlignment="1">
      <alignment horizontal="center" vertical="center" wrapText="1"/>
    </xf>
    <xf numFmtId="178" fontId="19" fillId="0" borderId="11" xfId="0" applyNumberFormat="1" applyFont="1" applyBorder="1" applyAlignment="1">
      <alignment horizontal="center" vertical="center" wrapText="1"/>
    </xf>
    <xf numFmtId="179" fontId="18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8" fontId="18" fillId="0" borderId="12" xfId="0" applyNumberFormat="1" applyFont="1" applyFill="1" applyBorder="1" applyAlignment="1">
      <alignment horizontal="center" vertical="center"/>
    </xf>
    <xf numFmtId="181" fontId="18" fillId="0" borderId="12" xfId="0" applyNumberFormat="1" applyFont="1" applyFill="1" applyBorder="1" applyAlignment="1">
      <alignment horizontal="center" vertical="center"/>
    </xf>
    <xf numFmtId="0" fontId="22" fillId="4" borderId="1" xfId="5" applyFont="1" applyFill="1" applyBorder="1" applyAlignment="1">
      <alignment horizontal="center" vertical="center" wrapText="1"/>
    </xf>
    <xf numFmtId="0" fontId="22" fillId="0" borderId="12" xfId="5" applyFont="1" applyBorder="1" applyAlignment="1">
      <alignment horizontal="center" vertical="center" wrapText="1"/>
    </xf>
    <xf numFmtId="0" fontId="22" fillId="0" borderId="4" xfId="5" applyFont="1" applyBorder="1" applyAlignment="1">
      <alignment horizontal="center" vertical="center" wrapText="1"/>
    </xf>
    <xf numFmtId="0" fontId="22" fillId="0" borderId="2" xfId="5" applyFont="1" applyBorder="1" applyAlignment="1">
      <alignment horizontal="center" vertical="center" wrapText="1"/>
    </xf>
    <xf numFmtId="0" fontId="22" fillId="4" borderId="2" xfId="5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178" fontId="21" fillId="0" borderId="1" xfId="0" applyNumberFormat="1" applyFont="1" applyBorder="1" applyAlignment="1">
      <alignment horizontal="center" vertical="center" wrapText="1"/>
    </xf>
    <xf numFmtId="178" fontId="21" fillId="3" borderId="1" xfId="0" applyNumberFormat="1" applyFont="1" applyFill="1" applyBorder="1" applyAlignment="1">
      <alignment horizontal="center" vertical="center" wrapText="1"/>
    </xf>
    <xf numFmtId="182" fontId="21" fillId="0" borderId="1" xfId="0" applyNumberFormat="1" applyFont="1" applyBorder="1" applyAlignment="1">
      <alignment horizontal="center" vertical="center" wrapText="1"/>
    </xf>
    <xf numFmtId="182" fontId="21" fillId="0" borderId="1" xfId="0" applyNumberFormat="1" applyFont="1" applyFill="1" applyBorder="1" applyAlignment="1">
      <alignment horizontal="center" vertical="center" wrapText="1"/>
    </xf>
    <xf numFmtId="178" fontId="23" fillId="0" borderId="6" xfId="0" applyNumberFormat="1" applyFont="1" applyBorder="1" applyAlignment="1">
      <alignment horizontal="center" vertical="center" wrapText="1"/>
    </xf>
    <xf numFmtId="183" fontId="2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78" fontId="19" fillId="0" borderId="6" xfId="0" applyNumberFormat="1" applyFont="1" applyBorder="1" applyAlignment="1">
      <alignment horizontal="center" vertical="center" wrapText="1"/>
    </xf>
    <xf numFmtId="183" fontId="17" fillId="0" borderId="1" xfId="0" applyNumberFormat="1" applyFont="1" applyFill="1" applyBorder="1" applyAlignment="1">
      <alignment horizontal="center" vertical="center" wrapText="1"/>
    </xf>
    <xf numFmtId="178" fontId="17" fillId="3" borderId="1" xfId="0" applyNumberFormat="1" applyFont="1" applyFill="1" applyBorder="1" applyAlignment="1">
      <alignment horizontal="center" vertical="center" wrapText="1"/>
    </xf>
    <xf numFmtId="0" fontId="17" fillId="3" borderId="1" xfId="3" applyFont="1" applyFill="1" applyBorder="1" applyAlignment="1">
      <alignment horizontal="center" vertical="center"/>
    </xf>
    <xf numFmtId="178" fontId="17" fillId="3" borderId="1" xfId="0" applyNumberFormat="1" applyFont="1" applyFill="1" applyBorder="1" applyAlignment="1">
      <alignment horizontal="center" vertical="center"/>
    </xf>
    <xf numFmtId="178" fontId="19" fillId="3" borderId="1" xfId="0" applyNumberFormat="1" applyFont="1" applyFill="1" applyBorder="1" applyAlignment="1">
      <alignment horizontal="center" vertical="center"/>
    </xf>
    <xf numFmtId="178" fontId="19" fillId="0" borderId="1" xfId="0" applyNumberFormat="1" applyFont="1" applyBorder="1" applyAlignment="1">
      <alignment horizontal="center" vertical="center"/>
    </xf>
    <xf numFmtId="181" fontId="19" fillId="0" borderId="6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178" fontId="19" fillId="0" borderId="11" xfId="0" applyNumberFormat="1" applyFont="1" applyBorder="1" applyAlignment="1">
      <alignment horizontal="center" vertical="center"/>
    </xf>
    <xf numFmtId="178" fontId="19" fillId="0" borderId="12" xfId="0" applyNumberFormat="1" applyFont="1" applyBorder="1" applyAlignment="1">
      <alignment horizontal="center" vertical="center"/>
    </xf>
    <xf numFmtId="182" fontId="19" fillId="0" borderId="14" xfId="0" applyNumberFormat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9" fontId="19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81" fontId="23" fillId="0" borderId="1" xfId="0" applyNumberFormat="1" applyFont="1" applyFill="1" applyBorder="1" applyAlignment="1">
      <alignment horizontal="center" vertical="center"/>
    </xf>
    <xf numFmtId="183" fontId="23" fillId="0" borderId="1" xfId="0" applyNumberFormat="1" applyFont="1" applyFill="1" applyBorder="1" applyAlignment="1">
      <alignment horizontal="center" vertical="center"/>
    </xf>
    <xf numFmtId="181" fontId="19" fillId="0" borderId="1" xfId="0" applyNumberFormat="1" applyFont="1" applyFill="1" applyBorder="1" applyAlignment="1">
      <alignment horizontal="center" vertical="center"/>
    </xf>
    <xf numFmtId="178" fontId="19" fillId="0" borderId="1" xfId="0" applyNumberFormat="1" applyFont="1" applyFill="1" applyBorder="1" applyAlignment="1">
      <alignment horizontal="center" vertical="center"/>
    </xf>
    <xf numFmtId="183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>
      <alignment vertical="center"/>
    </xf>
    <xf numFmtId="0" fontId="19" fillId="3" borderId="12" xfId="0" applyFont="1" applyFill="1" applyBorder="1" applyAlignment="1">
      <alignment horizontal="left" vertical="center" wrapText="1"/>
    </xf>
    <xf numFmtId="9" fontId="25" fillId="0" borderId="12" xfId="0" applyNumberFormat="1" applyFont="1" applyFill="1" applyBorder="1" applyAlignment="1">
      <alignment horizontal="center" vertical="center" wrapText="1"/>
    </xf>
    <xf numFmtId="178" fontId="19" fillId="0" borderId="12" xfId="0" applyNumberFormat="1" applyFont="1" applyFill="1" applyBorder="1" applyAlignment="1">
      <alignment horizontal="center" vertical="center"/>
    </xf>
    <xf numFmtId="181" fontId="19" fillId="0" borderId="12" xfId="0" applyNumberFormat="1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77" fontId="24" fillId="2" borderId="1" xfId="0" applyNumberFormat="1" applyFont="1" applyFill="1" applyBorder="1" applyAlignment="1">
      <alignment horizontal="center" vertical="center" wrapText="1"/>
    </xf>
    <xf numFmtId="176" fontId="23" fillId="0" borderId="6" xfId="0" applyNumberFormat="1" applyFont="1" applyBorder="1" applyAlignment="1">
      <alignment horizontal="center" vertical="center" wrapText="1"/>
    </xf>
    <xf numFmtId="180" fontId="24" fillId="2" borderId="1" xfId="0" applyNumberFormat="1" applyFont="1" applyFill="1" applyBorder="1" applyAlignment="1">
      <alignment horizontal="center" vertical="center" wrapText="1"/>
    </xf>
    <xf numFmtId="179" fontId="19" fillId="0" borderId="6" xfId="0" applyNumberFormat="1" applyFont="1" applyBorder="1" applyAlignment="1">
      <alignment horizontal="center" vertical="center" wrapText="1"/>
    </xf>
    <xf numFmtId="176" fontId="19" fillId="0" borderId="6" xfId="0" applyNumberFormat="1" applyFont="1" applyBorder="1" applyAlignment="1">
      <alignment horizontal="center" vertical="center" wrapText="1"/>
    </xf>
    <xf numFmtId="180" fontId="18" fillId="2" borderId="1" xfId="0" applyNumberFormat="1" applyFont="1" applyFill="1" applyBorder="1" applyAlignment="1">
      <alignment horizontal="center" vertical="center" wrapText="1"/>
    </xf>
    <xf numFmtId="178" fontId="18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>
      <alignment vertical="center"/>
    </xf>
    <xf numFmtId="0" fontId="26" fillId="2" borderId="1" xfId="5" applyFont="1" applyFill="1" applyBorder="1" applyAlignment="1">
      <alignment horizontal="center" vertical="center" wrapText="1"/>
    </xf>
    <xf numFmtId="0" fontId="26" fillId="2" borderId="11" xfId="5" applyFont="1" applyFill="1" applyBorder="1" applyAlignment="1">
      <alignment horizontal="center" vertical="center" wrapText="1"/>
    </xf>
    <xf numFmtId="178" fontId="11" fillId="0" borderId="2" xfId="1" applyNumberFormat="1" applyFont="1" applyBorder="1" applyAlignment="1">
      <alignment horizontal="center" vertical="center"/>
    </xf>
    <xf numFmtId="178" fontId="11" fillId="0" borderId="3" xfId="1" applyNumberFormat="1" applyFont="1" applyBorder="1" applyAlignment="1">
      <alignment horizontal="center" vertical="center"/>
    </xf>
    <xf numFmtId="178" fontId="11" fillId="0" borderId="6" xfId="1" applyNumberFormat="1" applyFont="1" applyBorder="1" applyAlignment="1">
      <alignment horizontal="center" vertical="center"/>
    </xf>
    <xf numFmtId="178" fontId="3" fillId="0" borderId="2" xfId="1" applyNumberFormat="1" applyFont="1" applyFill="1" applyBorder="1" applyAlignment="1">
      <alignment horizontal="center" vertical="center" wrapText="1"/>
    </xf>
    <xf numFmtId="178" fontId="3" fillId="0" borderId="3" xfId="1" applyNumberFormat="1" applyFont="1" applyFill="1" applyBorder="1" applyAlignment="1">
      <alignment horizontal="center" vertical="center" wrapText="1"/>
    </xf>
    <xf numFmtId="178" fontId="3" fillId="0" borderId="1" xfId="1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183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22" fillId="0" borderId="2" xfId="5" applyFont="1" applyBorder="1" applyAlignment="1">
      <alignment horizontal="center" vertical="center" wrapText="1"/>
    </xf>
    <xf numFmtId="0" fontId="22" fillId="0" borderId="3" xfId="5" applyFont="1" applyBorder="1" applyAlignment="1">
      <alignment horizontal="center" vertical="center" wrapText="1"/>
    </xf>
    <xf numFmtId="0" fontId="22" fillId="0" borderId="6" xfId="5" applyFont="1" applyBorder="1" applyAlignment="1">
      <alignment horizontal="center" vertical="center" wrapText="1"/>
    </xf>
    <xf numFmtId="178" fontId="22" fillId="0" borderId="2" xfId="0" applyNumberFormat="1" applyFont="1" applyFill="1" applyBorder="1" applyAlignment="1">
      <alignment horizontal="center" vertical="center" wrapText="1"/>
    </xf>
    <xf numFmtId="178" fontId="22" fillId="0" borderId="3" xfId="0" applyNumberFormat="1" applyFont="1" applyFill="1" applyBorder="1" applyAlignment="1">
      <alignment horizontal="center" vertical="center" wrapText="1"/>
    </xf>
    <xf numFmtId="178" fontId="22" fillId="0" borderId="6" xfId="0" applyNumberFormat="1" applyFont="1" applyFill="1" applyBorder="1" applyAlignment="1">
      <alignment horizontal="center" vertical="center" wrapText="1"/>
    </xf>
    <xf numFmtId="178" fontId="22" fillId="0" borderId="2" xfId="1" applyNumberFormat="1" applyFont="1" applyFill="1" applyBorder="1" applyAlignment="1">
      <alignment horizontal="center" vertical="center" wrapText="1"/>
    </xf>
    <xf numFmtId="178" fontId="22" fillId="0" borderId="3" xfId="1" applyNumberFormat="1" applyFont="1" applyFill="1" applyBorder="1" applyAlignment="1">
      <alignment horizontal="center" vertical="center" wrapText="1"/>
    </xf>
    <xf numFmtId="178" fontId="22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left" vertical="center" wrapText="1"/>
    </xf>
    <xf numFmtId="0" fontId="2" fillId="0" borderId="12" xfId="5" applyFont="1" applyFill="1" applyBorder="1" applyAlignment="1">
      <alignment horizontal="center" vertical="center" wrapText="1"/>
    </xf>
    <xf numFmtId="0" fontId="2" fillId="0" borderId="13" xfId="5" applyFont="1" applyFill="1" applyBorder="1" applyAlignment="1">
      <alignment horizontal="center" vertical="center" wrapText="1"/>
    </xf>
    <xf numFmtId="0" fontId="2" fillId="0" borderId="11" xfId="5" applyFont="1" applyFill="1" applyBorder="1" applyAlignment="1">
      <alignment horizontal="center" vertical="center" wrapText="1"/>
    </xf>
    <xf numFmtId="0" fontId="2" fillId="0" borderId="4" xfId="5" applyFont="1" applyFill="1" applyBorder="1" applyAlignment="1">
      <alignment horizontal="center" vertical="center" wrapText="1"/>
    </xf>
    <xf numFmtId="0" fontId="2" fillId="0" borderId="5" xfId="5" applyFont="1" applyFill="1" applyBorder="1" applyAlignment="1">
      <alignment horizontal="center" vertical="center" wrapText="1"/>
    </xf>
    <xf numFmtId="0" fontId="2" fillId="0" borderId="10" xfId="5" applyFont="1" applyFill="1" applyBorder="1" applyAlignment="1">
      <alignment horizontal="center" vertical="center" wrapText="1"/>
    </xf>
    <xf numFmtId="0" fontId="2" fillId="0" borderId="7" xfId="5" applyFont="1" applyFill="1" applyBorder="1" applyAlignment="1">
      <alignment horizontal="center" vertical="center" wrapText="1"/>
    </xf>
    <xf numFmtId="0" fontId="2" fillId="0" borderId="8" xfId="5" applyFont="1" applyFill="1" applyBorder="1" applyAlignment="1">
      <alignment horizontal="center" vertical="center" wrapText="1"/>
    </xf>
    <xf numFmtId="0" fontId="2" fillId="0" borderId="9" xfId="5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8" fontId="3" fillId="0" borderId="4" xfId="1" applyNumberFormat="1" applyFont="1" applyFill="1" applyBorder="1" applyAlignment="1">
      <alignment horizontal="center" vertical="center" wrapText="1"/>
    </xf>
    <xf numFmtId="178" fontId="3" fillId="0" borderId="5" xfId="1" applyNumberFormat="1" applyFont="1" applyFill="1" applyBorder="1" applyAlignment="1">
      <alignment horizontal="center" vertical="center" wrapText="1"/>
    </xf>
    <xf numFmtId="178" fontId="3" fillId="0" borderId="7" xfId="1" applyNumberFormat="1" applyFont="1" applyFill="1" applyBorder="1" applyAlignment="1">
      <alignment horizontal="center" vertical="center" wrapText="1"/>
    </xf>
    <xf numFmtId="178" fontId="3" fillId="0" borderId="8" xfId="1" applyNumberFormat="1" applyFont="1" applyFill="1" applyBorder="1" applyAlignment="1">
      <alignment horizontal="center" vertical="center" wrapText="1"/>
    </xf>
    <xf numFmtId="178" fontId="3" fillId="0" borderId="10" xfId="1" applyNumberFormat="1" applyFont="1" applyFill="1" applyBorder="1" applyAlignment="1">
      <alignment horizontal="center" vertical="center" wrapText="1"/>
    </xf>
    <xf numFmtId="178" fontId="3" fillId="0" borderId="9" xfId="1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6" fillId="2" borderId="1" xfId="5" applyFont="1" applyFill="1" applyBorder="1" applyAlignment="1">
      <alignment horizontal="center" vertical="center" wrapText="1"/>
    </xf>
    <xf numFmtId="178" fontId="26" fillId="0" borderId="4" xfId="1" applyNumberFormat="1" applyFont="1" applyFill="1" applyBorder="1" applyAlignment="1">
      <alignment horizontal="center" vertical="center" wrapText="1"/>
    </xf>
    <xf numFmtId="178" fontId="26" fillId="0" borderId="5" xfId="1" applyNumberFormat="1" applyFont="1" applyFill="1" applyBorder="1" applyAlignment="1">
      <alignment horizontal="center" vertical="center" wrapText="1"/>
    </xf>
    <xf numFmtId="178" fontId="26" fillId="0" borderId="7" xfId="1" applyNumberFormat="1" applyFont="1" applyFill="1" applyBorder="1" applyAlignment="1">
      <alignment horizontal="center" vertical="center" wrapText="1"/>
    </xf>
    <xf numFmtId="178" fontId="26" fillId="0" borderId="8" xfId="1" applyNumberFormat="1" applyFont="1" applyFill="1" applyBorder="1" applyAlignment="1">
      <alignment horizontal="center" vertical="center" wrapText="1"/>
    </xf>
    <xf numFmtId="178" fontId="26" fillId="0" borderId="10" xfId="1" applyNumberFormat="1" applyFont="1" applyFill="1" applyBorder="1" applyAlignment="1">
      <alignment horizontal="center" vertical="center" wrapText="1"/>
    </xf>
    <xf numFmtId="178" fontId="26" fillId="0" borderId="9" xfId="1" applyNumberFormat="1" applyFont="1" applyFill="1" applyBorder="1" applyAlignment="1">
      <alignment horizontal="center" vertical="center" wrapText="1"/>
    </xf>
    <xf numFmtId="183" fontId="0" fillId="0" borderId="0" xfId="0" applyNumberFormat="1">
      <alignment vertical="center"/>
    </xf>
  </cellXfs>
  <cellStyles count="7">
    <cellStyle name="差_Sheet2" xfId="2"/>
    <cellStyle name="常规" xfId="0" builtinId="0"/>
    <cellStyle name="常规 10" xfId="3"/>
    <cellStyle name="常规 2" xfId="4"/>
    <cellStyle name="常规_Sheet1" xfId="5"/>
    <cellStyle name="常规_Sheet2" xfId="1"/>
    <cellStyle name="好_Shee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"/>
  <sheetViews>
    <sheetView tabSelected="1" workbookViewId="0">
      <selection activeCell="P16" sqref="P16"/>
    </sheetView>
  </sheetViews>
  <sheetFormatPr defaultColWidth="9" defaultRowHeight="24.95" customHeight="1"/>
  <cols>
    <col min="1" max="1" width="18.25" customWidth="1"/>
    <col min="2" max="10" width="9.125" customWidth="1"/>
    <col min="11" max="11" width="8.375" customWidth="1"/>
    <col min="12" max="12" width="7.375" hidden="1" customWidth="1"/>
    <col min="13" max="13" width="7.5" hidden="1" customWidth="1"/>
    <col min="14" max="14" width="8.375" customWidth="1"/>
    <col min="15" max="15" width="8.75" customWidth="1"/>
  </cols>
  <sheetData>
    <row r="1" spans="1:17" ht="24.95" customHeight="1">
      <c r="A1" s="20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7" ht="38.25" customHeight="1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spans="1:17" ht="24.95" customHeight="1">
      <c r="A3" s="103" t="s">
        <v>2</v>
      </c>
      <c r="B3" s="97" t="s">
        <v>3</v>
      </c>
      <c r="C3" s="98"/>
      <c r="D3" s="98"/>
      <c r="E3" s="98"/>
      <c r="F3" s="99"/>
      <c r="G3" s="100" t="s">
        <v>4</v>
      </c>
      <c r="H3" s="101"/>
      <c r="I3" s="101"/>
      <c r="J3" s="101"/>
      <c r="K3" s="102" t="s">
        <v>5</v>
      </c>
      <c r="L3" s="102"/>
      <c r="M3" s="102"/>
      <c r="N3" s="102"/>
      <c r="O3" s="102"/>
    </row>
    <row r="4" spans="1:17" ht="24.95" customHeight="1">
      <c r="A4" s="103"/>
      <c r="B4" s="15" t="s">
        <v>6</v>
      </c>
      <c r="C4" s="15" t="s">
        <v>7</v>
      </c>
      <c r="D4" s="15" t="s">
        <v>8</v>
      </c>
      <c r="E4" s="14" t="s">
        <v>9</v>
      </c>
      <c r="F4" s="14" t="s">
        <v>10</v>
      </c>
      <c r="G4" s="14" t="s">
        <v>6</v>
      </c>
      <c r="H4" s="14" t="s">
        <v>7</v>
      </c>
      <c r="I4" s="14" t="s">
        <v>8</v>
      </c>
      <c r="J4" s="14" t="s">
        <v>9</v>
      </c>
      <c r="K4" s="14" t="s">
        <v>6</v>
      </c>
      <c r="L4" s="14" t="s">
        <v>7</v>
      </c>
      <c r="M4" s="14" t="s">
        <v>8</v>
      </c>
      <c r="N4" s="14" t="s">
        <v>11</v>
      </c>
      <c r="O4" s="14" t="s">
        <v>9</v>
      </c>
    </row>
    <row r="5" spans="1:17" ht="33" customHeight="1">
      <c r="A5" s="16" t="s">
        <v>12</v>
      </c>
      <c r="B5" s="5">
        <v>14205</v>
      </c>
      <c r="C5" s="5">
        <v>8145</v>
      </c>
      <c r="D5" s="5">
        <v>3060</v>
      </c>
      <c r="E5" s="5">
        <v>1254.06</v>
      </c>
      <c r="F5" s="5">
        <v>1745.94</v>
      </c>
      <c r="G5" s="5">
        <f>SUM(H5:J5)</f>
        <v>11935.91</v>
      </c>
      <c r="H5" s="5">
        <f>SUM(H6:H9)</f>
        <v>8146</v>
      </c>
      <c r="I5" s="5">
        <f t="shared" ref="I5:J5" si="0">SUM(I6:I9)</f>
        <v>2467</v>
      </c>
      <c r="J5" s="5">
        <f t="shared" si="0"/>
        <v>1322.9099999999999</v>
      </c>
      <c r="K5" s="18">
        <f>N5+O5</f>
        <v>523.14999999999986</v>
      </c>
      <c r="L5" s="18">
        <f>C5-H5</f>
        <v>-1</v>
      </c>
      <c r="M5" s="18">
        <f>SUM(M6:M9)</f>
        <v>592.99999999999989</v>
      </c>
      <c r="N5" s="18">
        <f>L5+M5</f>
        <v>591.99999999999989</v>
      </c>
      <c r="O5" s="18">
        <f>SUM(O6:O9)</f>
        <v>-68.850000000000023</v>
      </c>
    </row>
    <row r="6" spans="1:17" ht="33" customHeight="1">
      <c r="A6" s="16" t="s">
        <v>13</v>
      </c>
      <c r="B6" s="6">
        <v>3568</v>
      </c>
      <c r="C6" s="6">
        <v>1964</v>
      </c>
      <c r="D6" s="6">
        <v>800</v>
      </c>
      <c r="E6" s="6">
        <v>321.60000000000002</v>
      </c>
      <c r="F6" s="6">
        <v>482.4</v>
      </c>
      <c r="G6" s="6">
        <f t="shared" ref="G6:G10" si="1">SUM(H6:J6)</f>
        <v>2925.68</v>
      </c>
      <c r="H6" s="6">
        <f>公用经费!P6+生活补助测算!N7+校舍测算!H7</f>
        <v>1965</v>
      </c>
      <c r="I6" s="6">
        <f>公用经费!Q6+生活补助测算!O7+校舍测算!I7</f>
        <v>640</v>
      </c>
      <c r="J6" s="6">
        <f>公用经费!R6+生活补助测算!P7+校舍测算!J7</f>
        <v>320.68</v>
      </c>
      <c r="K6" s="19">
        <f t="shared" ref="K6:K12" si="2">N6+O6</f>
        <v>159.92000000000002</v>
      </c>
      <c r="L6" s="19">
        <f t="shared" ref="L6:L12" si="3">C6-H6</f>
        <v>-1</v>
      </c>
      <c r="M6" s="19">
        <f>D6-I6</f>
        <v>160</v>
      </c>
      <c r="N6" s="19">
        <f t="shared" ref="N6:N12" si="4">L6+M6</f>
        <v>159</v>
      </c>
      <c r="O6" s="19">
        <f t="shared" ref="O6:O12" si="5">E6-J6</f>
        <v>0.92000000000001592</v>
      </c>
      <c r="Q6" s="159"/>
    </row>
    <row r="7" spans="1:17" ht="33" customHeight="1">
      <c r="A7" s="16" t="s">
        <v>14</v>
      </c>
      <c r="B7" s="6">
        <v>9118.9670000000006</v>
      </c>
      <c r="C7" s="6">
        <v>5170.6270000000004</v>
      </c>
      <c r="D7" s="6">
        <v>1975.12</v>
      </c>
      <c r="E7" s="6">
        <v>767.68</v>
      </c>
      <c r="F7" s="6">
        <v>1205.54</v>
      </c>
      <c r="G7" s="6">
        <f t="shared" si="1"/>
        <v>7844.41</v>
      </c>
      <c r="H7" s="6">
        <f>公用经费!P7+生活补助测算!N8+校舍测算!H8</f>
        <v>5326.76</v>
      </c>
      <c r="I7" s="6">
        <f>公用经费!Q7+生活补助测算!O8+校舍测算!I8</f>
        <v>1716</v>
      </c>
      <c r="J7" s="6">
        <f>公用经费!R7+生活补助测算!P8+校舍测算!J8</f>
        <v>801.65</v>
      </c>
      <c r="K7" s="19">
        <f t="shared" si="2"/>
        <v>69.017000000000053</v>
      </c>
      <c r="L7" s="19">
        <f t="shared" si="3"/>
        <v>-156.13299999999981</v>
      </c>
      <c r="M7" s="19">
        <f t="shared" ref="M7:M12" si="6">D7-I7</f>
        <v>259.11999999999989</v>
      </c>
      <c r="N7" s="19">
        <f t="shared" si="4"/>
        <v>102.98700000000008</v>
      </c>
      <c r="O7" s="19">
        <f t="shared" si="5"/>
        <v>-33.970000000000027</v>
      </c>
      <c r="Q7" s="159"/>
    </row>
    <row r="8" spans="1:17" ht="33" customHeight="1">
      <c r="A8" s="16" t="s">
        <v>15</v>
      </c>
      <c r="B8" s="6">
        <v>785</v>
      </c>
      <c r="C8" s="6">
        <v>592</v>
      </c>
      <c r="D8" s="6">
        <v>135</v>
      </c>
      <c r="E8" s="6">
        <v>0</v>
      </c>
      <c r="F8" s="6">
        <v>58</v>
      </c>
      <c r="G8" s="6">
        <f t="shared" si="1"/>
        <v>703</v>
      </c>
      <c r="H8" s="6">
        <f>公用经费!P8+生活补助测算!N9+校舍测算!H9</f>
        <v>592</v>
      </c>
      <c r="I8" s="6">
        <f>公用经费!Q8+生活补助测算!O9+校舍测算!I9</f>
        <v>111</v>
      </c>
      <c r="J8" s="6">
        <f>公用经费!R8+生活补助测算!P9+校舍测算!J9</f>
        <v>0</v>
      </c>
      <c r="K8" s="19">
        <f t="shared" si="2"/>
        <v>24</v>
      </c>
      <c r="L8" s="19">
        <f t="shared" si="3"/>
        <v>0</v>
      </c>
      <c r="M8" s="19">
        <f t="shared" si="6"/>
        <v>24</v>
      </c>
      <c r="N8" s="19">
        <f t="shared" si="4"/>
        <v>24</v>
      </c>
      <c r="O8" s="19">
        <f t="shared" si="5"/>
        <v>0</v>
      </c>
      <c r="Q8" s="159"/>
    </row>
    <row r="9" spans="1:17" ht="33" customHeight="1">
      <c r="A9" s="16" t="s">
        <v>16</v>
      </c>
      <c r="B9" s="6">
        <v>733.03</v>
      </c>
      <c r="C9" s="6">
        <v>418.37299999999999</v>
      </c>
      <c r="D9" s="6">
        <v>149.88</v>
      </c>
      <c r="E9" s="6">
        <v>164.78</v>
      </c>
      <c r="F9" s="6">
        <v>0</v>
      </c>
      <c r="G9" s="6">
        <f t="shared" si="1"/>
        <v>462.82000000000005</v>
      </c>
      <c r="H9" s="6">
        <f>公用经费!P9+生活补助测算!N10+校舍测算!H10</f>
        <v>262.24</v>
      </c>
      <c r="I9" s="6">
        <f>公用经费!Q9+生活补助测算!O10+校舍测算!I10</f>
        <v>0</v>
      </c>
      <c r="J9" s="6">
        <f>公用经费!R9+生活补助测算!P10+校舍测算!J10</f>
        <v>200.58</v>
      </c>
      <c r="K9" s="19">
        <f t="shared" si="2"/>
        <v>270.21299999999997</v>
      </c>
      <c r="L9" s="19">
        <f t="shared" si="3"/>
        <v>156.13299999999998</v>
      </c>
      <c r="M9" s="19">
        <f t="shared" si="6"/>
        <v>149.88</v>
      </c>
      <c r="N9" s="19">
        <f t="shared" si="4"/>
        <v>306.01299999999998</v>
      </c>
      <c r="O9" s="19">
        <f t="shared" si="5"/>
        <v>-35.800000000000011</v>
      </c>
      <c r="Q9" s="159"/>
    </row>
    <row r="10" spans="1:17" ht="33" customHeight="1">
      <c r="A10" s="17" t="s">
        <v>17</v>
      </c>
      <c r="B10" s="6">
        <v>232.73</v>
      </c>
      <c r="C10" s="6">
        <v>134.851</v>
      </c>
      <c r="D10" s="6">
        <v>48.942</v>
      </c>
      <c r="E10" s="6">
        <v>48.942</v>
      </c>
      <c r="F10" s="6">
        <v>0</v>
      </c>
      <c r="G10" s="6">
        <f t="shared" si="1"/>
        <v>109.94</v>
      </c>
      <c r="H10" s="6">
        <f>公用经费!P10+生活补助测算!N11+校舍测算!H11</f>
        <v>56</v>
      </c>
      <c r="I10" s="6">
        <f>公用经费!Q10+生活补助测算!O11+校舍测算!I11</f>
        <v>0</v>
      </c>
      <c r="J10" s="6">
        <f>公用经费!R10+生活补助测算!P11</f>
        <v>53.94</v>
      </c>
      <c r="K10" s="19">
        <v>122.79</v>
      </c>
      <c r="L10" s="19">
        <f t="shared" si="3"/>
        <v>78.850999999999999</v>
      </c>
      <c r="M10" s="19">
        <f t="shared" si="6"/>
        <v>48.942</v>
      </c>
      <c r="N10" s="19">
        <f t="shared" si="4"/>
        <v>127.79300000000001</v>
      </c>
      <c r="O10" s="19">
        <f t="shared" si="5"/>
        <v>-4.9979999999999976</v>
      </c>
      <c r="Q10" s="159"/>
    </row>
    <row r="11" spans="1:17" ht="33" customHeight="1">
      <c r="A11" s="17" t="s">
        <v>18</v>
      </c>
      <c r="B11" s="6">
        <v>334.17500000000001</v>
      </c>
      <c r="C11" s="6">
        <v>194.22200000000001</v>
      </c>
      <c r="D11" s="6">
        <v>70.043999999999997</v>
      </c>
      <c r="E11" s="6">
        <v>70.043999999999997</v>
      </c>
      <c r="F11" s="6">
        <v>0</v>
      </c>
      <c r="G11" s="6">
        <f t="shared" ref="G11:G12" si="7">SUM(H11:J11)</f>
        <v>186.88</v>
      </c>
      <c r="H11" s="6">
        <f>公用经费!P11+生活补助测算!N12+校舍测算!H12</f>
        <v>95.84</v>
      </c>
      <c r="I11" s="6">
        <f>公用经费!Q11+生活补助测算!O12+校舍测算!I12</f>
        <v>0</v>
      </c>
      <c r="J11" s="6">
        <f>公用经费!R11+生活补助测算!P12</f>
        <v>91.039999999999992</v>
      </c>
      <c r="K11" s="19">
        <v>147.41999999999999</v>
      </c>
      <c r="L11" s="19">
        <f t="shared" si="3"/>
        <v>98.382000000000005</v>
      </c>
      <c r="M11" s="19">
        <f t="shared" si="6"/>
        <v>70.043999999999997</v>
      </c>
      <c r="N11" s="19">
        <v>168.42</v>
      </c>
      <c r="O11" s="19">
        <f t="shared" si="5"/>
        <v>-20.995999999999995</v>
      </c>
      <c r="Q11" s="159"/>
    </row>
    <row r="12" spans="1:17" ht="33" customHeight="1">
      <c r="A12" s="17" t="s">
        <v>19</v>
      </c>
      <c r="B12" s="6">
        <v>166</v>
      </c>
      <c r="C12" s="6">
        <v>89.3</v>
      </c>
      <c r="D12" s="6">
        <v>30.9</v>
      </c>
      <c r="E12" s="6">
        <v>45.8</v>
      </c>
      <c r="F12" s="6">
        <v>0</v>
      </c>
      <c r="G12" s="6">
        <f t="shared" si="7"/>
        <v>166</v>
      </c>
      <c r="H12" s="6">
        <f>公用经费!P12+生活补助测算!N13+校舍测算!H13</f>
        <v>110.4</v>
      </c>
      <c r="I12" s="6">
        <f>公用经费!Q12+生活补助测算!O13+校舍测算!I13</f>
        <v>0</v>
      </c>
      <c r="J12" s="6">
        <f>公用经费!R12+生活补助测算!P13+校舍测算!J11</f>
        <v>55.6</v>
      </c>
      <c r="K12" s="19">
        <f t="shared" si="2"/>
        <v>-1.4210854715202004E-14</v>
      </c>
      <c r="L12" s="19">
        <f t="shared" si="3"/>
        <v>-21.100000000000009</v>
      </c>
      <c r="M12" s="19">
        <f t="shared" si="6"/>
        <v>30.9</v>
      </c>
      <c r="N12" s="19">
        <f t="shared" si="4"/>
        <v>9.7999999999999901</v>
      </c>
      <c r="O12" s="19">
        <f t="shared" si="5"/>
        <v>-9.8000000000000043</v>
      </c>
      <c r="Q12" s="159"/>
    </row>
  </sheetData>
  <mergeCells count="5">
    <mergeCell ref="B3:F3"/>
    <mergeCell ref="G3:J3"/>
    <mergeCell ref="K3:O3"/>
    <mergeCell ref="A3:A4"/>
    <mergeCell ref="A2:O2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2"/>
  <sheetViews>
    <sheetView workbookViewId="0">
      <selection activeCell="I15" sqref="I15"/>
    </sheetView>
  </sheetViews>
  <sheetFormatPr defaultColWidth="9" defaultRowHeight="24.95" customHeight="1"/>
  <cols>
    <col min="1" max="1" width="9.25" customWidth="1"/>
    <col min="2" max="2" width="9.125" customWidth="1"/>
    <col min="3" max="3" width="8" customWidth="1"/>
    <col min="4" max="4" width="9" customWidth="1"/>
    <col min="5" max="5" width="8.625" customWidth="1"/>
    <col min="6" max="6" width="8.25" customWidth="1"/>
    <col min="7" max="7" width="7.25" customWidth="1"/>
    <col min="8" max="8" width="8.75" customWidth="1"/>
    <col min="9" max="9" width="8.25" customWidth="1"/>
    <col min="10" max="10" width="7.25" style="1" customWidth="1"/>
    <col min="11" max="11" width="8" customWidth="1"/>
    <col min="12" max="16" width="6.5" customWidth="1"/>
    <col min="17" max="17" width="5.875" customWidth="1"/>
    <col min="18" max="19" width="6.375" customWidth="1"/>
    <col min="20" max="20" width="7.25" customWidth="1"/>
    <col min="21" max="21" width="7.625" customWidth="1"/>
  </cols>
  <sheetData>
    <row r="1" spans="1:21" ht="24.95" customHeight="1">
      <c r="A1" s="20" t="s">
        <v>20</v>
      </c>
    </row>
    <row r="2" spans="1:21" ht="38.25" customHeight="1">
      <c r="A2" s="105" t="s">
        <v>21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1" ht="24.95" customHeight="1">
      <c r="A3" s="109" t="s">
        <v>48</v>
      </c>
      <c r="B3" s="106" t="s">
        <v>3</v>
      </c>
      <c r="C3" s="106"/>
      <c r="D3" s="106"/>
      <c r="E3" s="106"/>
      <c r="F3" s="106"/>
      <c r="G3" s="107" t="s">
        <v>22</v>
      </c>
      <c r="H3" s="107"/>
      <c r="I3" s="107"/>
      <c r="J3" s="107"/>
      <c r="K3" s="107"/>
      <c r="L3" s="107" t="s">
        <v>23</v>
      </c>
      <c r="M3" s="107"/>
      <c r="N3" s="107"/>
      <c r="O3" s="107"/>
      <c r="P3" s="107"/>
      <c r="Q3" s="108" t="s">
        <v>24</v>
      </c>
      <c r="R3" s="108"/>
      <c r="S3" s="108"/>
      <c r="T3" s="108"/>
      <c r="U3" s="108"/>
    </row>
    <row r="4" spans="1:21" ht="24.95" customHeight="1">
      <c r="A4" s="108"/>
      <c r="B4" s="10" t="s">
        <v>6</v>
      </c>
      <c r="C4" s="10" t="s">
        <v>7</v>
      </c>
      <c r="D4" s="10" t="s">
        <v>8</v>
      </c>
      <c r="E4" s="9" t="s">
        <v>9</v>
      </c>
      <c r="F4" s="9" t="s">
        <v>10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6</v>
      </c>
      <c r="R4" s="9" t="s">
        <v>7</v>
      </c>
      <c r="S4" s="9" t="s">
        <v>8</v>
      </c>
      <c r="T4" s="9" t="s">
        <v>9</v>
      </c>
      <c r="U4" s="9" t="s">
        <v>10</v>
      </c>
    </row>
    <row r="5" spans="1:21" ht="36.75" customHeight="1">
      <c r="A5" s="11" t="s">
        <v>12</v>
      </c>
      <c r="B5" s="21">
        <f>G5+L5+Q5</f>
        <v>14205</v>
      </c>
      <c r="C5" s="21">
        <f>H5+M5+R5</f>
        <v>8145</v>
      </c>
      <c r="D5" s="21">
        <f t="shared" ref="D5:F5" si="0">I5+N5+S5</f>
        <v>3060</v>
      </c>
      <c r="E5" s="21">
        <f t="shared" si="0"/>
        <v>1254.06</v>
      </c>
      <c r="F5" s="21">
        <f t="shared" si="0"/>
        <v>1745.94</v>
      </c>
      <c r="G5" s="22">
        <v>10506</v>
      </c>
      <c r="H5" s="23">
        <v>6326</v>
      </c>
      <c r="I5" s="23">
        <v>2104</v>
      </c>
      <c r="J5" s="24">
        <v>886.36</v>
      </c>
      <c r="K5" s="24">
        <v>1189.6400000000001</v>
      </c>
      <c r="L5" s="22">
        <v>945</v>
      </c>
      <c r="M5" s="22">
        <v>470</v>
      </c>
      <c r="N5" s="22">
        <v>244</v>
      </c>
      <c r="O5" s="25">
        <v>96.1</v>
      </c>
      <c r="P5" s="25">
        <v>134.9</v>
      </c>
      <c r="Q5" s="26">
        <v>2754</v>
      </c>
      <c r="R5" s="26">
        <v>1349</v>
      </c>
      <c r="S5" s="26">
        <v>712</v>
      </c>
      <c r="T5" s="25">
        <v>271.60000000000002</v>
      </c>
      <c r="U5" s="25">
        <v>421.4</v>
      </c>
    </row>
    <row r="6" spans="1:21" ht="36.75" customHeight="1">
      <c r="A6" s="12" t="s">
        <v>13</v>
      </c>
      <c r="B6" s="21">
        <f t="shared" ref="B6:B12" si="1">G6+L6+Q6</f>
        <v>3568</v>
      </c>
      <c r="C6" s="21">
        <f t="shared" ref="C6:C12" si="2">H6+M6+R6</f>
        <v>1964</v>
      </c>
      <c r="D6" s="21">
        <f t="shared" ref="D6:D12" si="3">I6+N6+S6</f>
        <v>800</v>
      </c>
      <c r="E6" s="21">
        <f t="shared" ref="E6:E12" si="4">J6+O6+T6</f>
        <v>321.60000000000002</v>
      </c>
      <c r="F6" s="21">
        <f t="shared" ref="F6:F12" si="5">K6+P6+U6</f>
        <v>482.4</v>
      </c>
      <c r="G6" s="22">
        <v>2632</v>
      </c>
      <c r="H6" s="27">
        <v>1547</v>
      </c>
      <c r="I6" s="27">
        <v>540</v>
      </c>
      <c r="J6" s="27">
        <v>218</v>
      </c>
      <c r="K6" s="27">
        <v>327</v>
      </c>
      <c r="L6" s="22">
        <v>264</v>
      </c>
      <c r="M6" s="27">
        <v>131</v>
      </c>
      <c r="N6" s="27">
        <v>67</v>
      </c>
      <c r="O6" s="28">
        <v>26.4</v>
      </c>
      <c r="P6" s="28">
        <v>39.6</v>
      </c>
      <c r="Q6" s="29">
        <v>672</v>
      </c>
      <c r="R6" s="29">
        <v>286</v>
      </c>
      <c r="S6" s="26">
        <v>193</v>
      </c>
      <c r="T6" s="25">
        <v>77.2</v>
      </c>
      <c r="U6" s="25">
        <v>115.8</v>
      </c>
    </row>
    <row r="7" spans="1:21" ht="36.75" customHeight="1">
      <c r="A7" s="12" t="s">
        <v>14</v>
      </c>
      <c r="B7" s="21">
        <f t="shared" si="1"/>
        <v>9118.9670000000006</v>
      </c>
      <c r="C7" s="21">
        <f t="shared" si="2"/>
        <v>5170.6270000000004</v>
      </c>
      <c r="D7" s="21">
        <f t="shared" si="3"/>
        <v>1975.12</v>
      </c>
      <c r="E7" s="21">
        <f t="shared" si="4"/>
        <v>767.68</v>
      </c>
      <c r="F7" s="21">
        <f t="shared" si="5"/>
        <v>1205.54</v>
      </c>
      <c r="G7" s="22">
        <v>6615.9669999999996</v>
      </c>
      <c r="H7" s="30">
        <v>3921.127</v>
      </c>
      <c r="I7" s="31">
        <v>1339.92</v>
      </c>
      <c r="J7" s="31">
        <v>529.28</v>
      </c>
      <c r="K7" s="31">
        <v>825.64</v>
      </c>
      <c r="L7" s="22">
        <v>590</v>
      </c>
      <c r="M7" s="32">
        <v>293.5</v>
      </c>
      <c r="N7" s="33">
        <v>149.19999999999999</v>
      </c>
      <c r="O7" s="34">
        <v>59</v>
      </c>
      <c r="P7" s="33">
        <v>88.3</v>
      </c>
      <c r="Q7" s="35">
        <v>1913</v>
      </c>
      <c r="R7" s="36">
        <v>956</v>
      </c>
      <c r="S7" s="26">
        <v>486</v>
      </c>
      <c r="T7" s="25">
        <v>179.4</v>
      </c>
      <c r="U7" s="25">
        <v>291.60000000000002</v>
      </c>
    </row>
    <row r="8" spans="1:21" ht="36.75" customHeight="1">
      <c r="A8" s="12" t="s">
        <v>15</v>
      </c>
      <c r="B8" s="21">
        <f t="shared" si="1"/>
        <v>785</v>
      </c>
      <c r="C8" s="21">
        <f t="shared" si="2"/>
        <v>592</v>
      </c>
      <c r="D8" s="21">
        <f t="shared" si="3"/>
        <v>135</v>
      </c>
      <c r="E8" s="21">
        <f t="shared" si="4"/>
        <v>0</v>
      </c>
      <c r="F8" s="21">
        <f t="shared" si="5"/>
        <v>58</v>
      </c>
      <c r="G8" s="22">
        <v>583</v>
      </c>
      <c r="H8" s="37">
        <v>461</v>
      </c>
      <c r="I8" s="34">
        <v>85</v>
      </c>
      <c r="J8" s="34">
        <v>0</v>
      </c>
      <c r="K8" s="34">
        <v>37</v>
      </c>
      <c r="L8" s="22">
        <v>48</v>
      </c>
      <c r="M8" s="37">
        <v>24</v>
      </c>
      <c r="N8" s="34">
        <v>17</v>
      </c>
      <c r="O8" s="34">
        <v>0</v>
      </c>
      <c r="P8" s="33">
        <v>7</v>
      </c>
      <c r="Q8" s="35">
        <v>154</v>
      </c>
      <c r="R8" s="36">
        <v>107</v>
      </c>
      <c r="S8" s="26">
        <v>33</v>
      </c>
      <c r="T8" s="25">
        <v>0</v>
      </c>
      <c r="U8" s="25">
        <v>14</v>
      </c>
    </row>
    <row r="9" spans="1:21" ht="36.75" customHeight="1">
      <c r="A9" s="3" t="s">
        <v>16</v>
      </c>
      <c r="B9" s="21">
        <f t="shared" si="1"/>
        <v>733.03</v>
      </c>
      <c r="C9" s="21">
        <f t="shared" si="2"/>
        <v>418.37299999999999</v>
      </c>
      <c r="D9" s="21">
        <f t="shared" si="3"/>
        <v>149.88</v>
      </c>
      <c r="E9" s="21">
        <f t="shared" si="4"/>
        <v>164.78</v>
      </c>
      <c r="F9" s="21">
        <f t="shared" si="5"/>
        <v>0</v>
      </c>
      <c r="G9" s="21">
        <v>675.03</v>
      </c>
      <c r="H9" s="21">
        <v>396.87299999999999</v>
      </c>
      <c r="I9" s="21">
        <v>139.08000000000001</v>
      </c>
      <c r="J9" s="21">
        <v>139.08000000000001</v>
      </c>
      <c r="K9" s="23"/>
      <c r="L9" s="22">
        <v>43</v>
      </c>
      <c r="M9" s="25">
        <v>21.5</v>
      </c>
      <c r="N9" s="25">
        <v>10.8</v>
      </c>
      <c r="O9" s="25">
        <v>10.7</v>
      </c>
      <c r="P9" s="25"/>
      <c r="Q9" s="38">
        <v>15</v>
      </c>
      <c r="R9" s="38"/>
      <c r="S9" s="38"/>
      <c r="T9" s="39">
        <v>15</v>
      </c>
      <c r="U9" s="39"/>
    </row>
    <row r="10" spans="1:21" ht="36.75" customHeight="1">
      <c r="A10" s="3" t="s">
        <v>17</v>
      </c>
      <c r="B10" s="21">
        <f t="shared" si="1"/>
        <v>232.73</v>
      </c>
      <c r="C10" s="21">
        <f t="shared" si="2"/>
        <v>134.851</v>
      </c>
      <c r="D10" s="21">
        <f t="shared" si="3"/>
        <v>48.942</v>
      </c>
      <c r="E10" s="21">
        <f t="shared" si="4"/>
        <v>48.942</v>
      </c>
      <c r="F10" s="21">
        <f t="shared" si="5"/>
        <v>0</v>
      </c>
      <c r="G10" s="21">
        <v>230.73</v>
      </c>
      <c r="H10" s="21">
        <v>133.851</v>
      </c>
      <c r="I10" s="21">
        <v>48.442</v>
      </c>
      <c r="J10" s="21">
        <v>48.442</v>
      </c>
      <c r="K10" s="23"/>
      <c r="L10" s="40">
        <v>2</v>
      </c>
      <c r="M10" s="40">
        <v>1</v>
      </c>
      <c r="N10" s="41">
        <v>0.5</v>
      </c>
      <c r="O10" s="41">
        <v>0.5</v>
      </c>
      <c r="P10" s="41"/>
      <c r="Q10" s="38"/>
      <c r="R10" s="38"/>
      <c r="S10" s="38"/>
      <c r="T10" s="39"/>
      <c r="U10" s="39"/>
    </row>
    <row r="11" spans="1:21" ht="36.75" customHeight="1">
      <c r="A11" s="3" t="s">
        <v>18</v>
      </c>
      <c r="B11" s="21">
        <f t="shared" si="1"/>
        <v>334.17500000000001</v>
      </c>
      <c r="C11" s="21">
        <f t="shared" si="2"/>
        <v>194.22200000000001</v>
      </c>
      <c r="D11" s="21">
        <f t="shared" si="3"/>
        <v>70.043999999999997</v>
      </c>
      <c r="E11" s="21">
        <f t="shared" si="4"/>
        <v>70.043999999999997</v>
      </c>
      <c r="F11" s="21">
        <f t="shared" si="5"/>
        <v>0</v>
      </c>
      <c r="G11" s="21">
        <v>306.3</v>
      </c>
      <c r="H11" s="21">
        <v>180.22200000000001</v>
      </c>
      <c r="I11" s="21">
        <v>63.043999999999997</v>
      </c>
      <c r="J11" s="21">
        <v>63.043999999999997</v>
      </c>
      <c r="K11" s="23"/>
      <c r="L11" s="25">
        <v>27.875</v>
      </c>
      <c r="M11" s="22">
        <v>14</v>
      </c>
      <c r="N11" s="22">
        <v>7</v>
      </c>
      <c r="O11" s="22">
        <v>7</v>
      </c>
      <c r="P11" s="25"/>
      <c r="Q11" s="38"/>
      <c r="R11" s="38"/>
      <c r="S11" s="38"/>
      <c r="T11" s="39"/>
      <c r="U11" s="39"/>
    </row>
    <row r="12" spans="1:21" ht="36.75" customHeight="1">
      <c r="A12" s="3" t="s">
        <v>19</v>
      </c>
      <c r="B12" s="21">
        <f t="shared" si="1"/>
        <v>166</v>
      </c>
      <c r="C12" s="21">
        <f t="shared" si="2"/>
        <v>89.3</v>
      </c>
      <c r="D12" s="21">
        <f t="shared" si="3"/>
        <v>30.9</v>
      </c>
      <c r="E12" s="21">
        <f t="shared" si="4"/>
        <v>45.8</v>
      </c>
      <c r="F12" s="21">
        <f t="shared" si="5"/>
        <v>0</v>
      </c>
      <c r="G12" s="21">
        <v>138</v>
      </c>
      <c r="H12" s="21">
        <v>82.8</v>
      </c>
      <c r="I12" s="21">
        <v>27.6</v>
      </c>
      <c r="J12" s="21">
        <v>27.6</v>
      </c>
      <c r="K12" s="23"/>
      <c r="L12" s="22">
        <v>13</v>
      </c>
      <c r="M12" s="25">
        <v>6.5</v>
      </c>
      <c r="N12" s="25">
        <v>3.3</v>
      </c>
      <c r="O12" s="25">
        <v>3.2</v>
      </c>
      <c r="P12" s="25"/>
      <c r="Q12" s="38">
        <v>15</v>
      </c>
      <c r="R12" s="38"/>
      <c r="S12" s="38"/>
      <c r="T12" s="39">
        <v>15</v>
      </c>
      <c r="U12" s="39"/>
    </row>
  </sheetData>
  <mergeCells count="6">
    <mergeCell ref="A2:U2"/>
    <mergeCell ref="B3:F3"/>
    <mergeCell ref="G3:K3"/>
    <mergeCell ref="L3:P3"/>
    <mergeCell ref="Q3:U3"/>
    <mergeCell ref="A3:A4"/>
  </mergeCells>
  <phoneticPr fontId="6" type="noConversion"/>
  <pageMargins left="0.43307086614173229" right="0.39370078740157483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3"/>
  <sheetViews>
    <sheetView workbookViewId="0">
      <selection activeCell="Q11" sqref="Q11"/>
    </sheetView>
  </sheetViews>
  <sheetFormatPr defaultColWidth="9" defaultRowHeight="24.95" customHeight="1"/>
  <cols>
    <col min="1" max="1" width="11.125" customWidth="1"/>
    <col min="2" max="2" width="7.75" customWidth="1"/>
    <col min="3" max="3" width="7.5" customWidth="1"/>
    <col min="4" max="4" width="7.75" customWidth="1"/>
    <col min="5" max="5" width="7.625" customWidth="1"/>
    <col min="6" max="6" width="8.375" customWidth="1"/>
    <col min="7" max="7" width="7.25" customWidth="1"/>
    <col min="8" max="8" width="6.125" customWidth="1"/>
    <col min="9" max="9" width="7.875" customWidth="1"/>
    <col min="10" max="10" width="8.5" customWidth="1"/>
    <col min="11" max="11" width="8.625" customWidth="1"/>
    <col min="12" max="12" width="8.75" customWidth="1"/>
    <col min="13" max="13" width="7.75" customWidth="1"/>
    <col min="14" max="14" width="10.125" customWidth="1"/>
    <col min="15" max="15" width="9.125" customWidth="1"/>
    <col min="16" max="16" width="9.625" customWidth="1"/>
    <col min="17" max="17" width="8.25" customWidth="1"/>
    <col min="18" max="18" width="7.875" customWidth="1"/>
    <col min="19" max="19" width="8.375" customWidth="1"/>
    <col min="20" max="20" width="7.375" hidden="1" customWidth="1"/>
    <col min="21" max="21" width="7.5" hidden="1" customWidth="1"/>
    <col min="22" max="22" width="8.75" customWidth="1"/>
    <col min="23" max="23" width="8" customWidth="1"/>
  </cols>
  <sheetData>
    <row r="1" spans="1:23" ht="24.95" customHeight="1">
      <c r="A1" s="20" t="s">
        <v>25</v>
      </c>
    </row>
    <row r="2" spans="1:23" ht="41.25" customHeight="1">
      <c r="A2" s="110" t="s">
        <v>26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</row>
    <row r="3" spans="1:23" ht="45" customHeight="1">
      <c r="A3" s="42" t="s">
        <v>27</v>
      </c>
      <c r="B3" s="111" t="s">
        <v>28</v>
      </c>
      <c r="C3" s="112"/>
      <c r="D3" s="112"/>
      <c r="E3" s="112"/>
      <c r="F3" s="112"/>
      <c r="G3" s="111" t="s">
        <v>29</v>
      </c>
      <c r="H3" s="112"/>
      <c r="I3" s="113"/>
      <c r="J3" s="114" t="s">
        <v>30</v>
      </c>
      <c r="K3" s="115"/>
      <c r="L3" s="115"/>
      <c r="M3" s="115"/>
      <c r="N3" s="116"/>
      <c r="O3" s="117" t="s">
        <v>4</v>
      </c>
      <c r="P3" s="118"/>
      <c r="Q3" s="118"/>
      <c r="R3" s="118"/>
      <c r="S3" s="119" t="s">
        <v>5</v>
      </c>
      <c r="T3" s="119"/>
      <c r="U3" s="119"/>
      <c r="V3" s="119"/>
      <c r="W3" s="119"/>
    </row>
    <row r="4" spans="1:23" ht="33.75" customHeight="1">
      <c r="A4" s="42"/>
      <c r="B4" s="43" t="s">
        <v>6</v>
      </c>
      <c r="C4" s="43" t="s">
        <v>31</v>
      </c>
      <c r="D4" s="43" t="s">
        <v>32</v>
      </c>
      <c r="E4" s="44" t="s">
        <v>33</v>
      </c>
      <c r="F4" s="45" t="s">
        <v>34</v>
      </c>
      <c r="G4" s="43" t="s">
        <v>6</v>
      </c>
      <c r="H4" s="43" t="s">
        <v>35</v>
      </c>
      <c r="I4" s="43" t="s">
        <v>36</v>
      </c>
      <c r="J4" s="42" t="s">
        <v>37</v>
      </c>
      <c r="K4" s="42" t="s">
        <v>7</v>
      </c>
      <c r="L4" s="42" t="s">
        <v>8</v>
      </c>
      <c r="M4" s="42" t="s">
        <v>9</v>
      </c>
      <c r="N4" s="42" t="s">
        <v>10</v>
      </c>
      <c r="O4" s="46" t="s">
        <v>37</v>
      </c>
      <c r="P4" s="46" t="s">
        <v>7</v>
      </c>
      <c r="Q4" s="46" t="s">
        <v>8</v>
      </c>
      <c r="R4" s="46" t="s">
        <v>9</v>
      </c>
      <c r="S4" s="42" t="s">
        <v>37</v>
      </c>
      <c r="T4" s="42" t="s">
        <v>7</v>
      </c>
      <c r="U4" s="42" t="s">
        <v>8</v>
      </c>
      <c r="V4" s="42" t="s">
        <v>11</v>
      </c>
      <c r="W4" s="42" t="s">
        <v>9</v>
      </c>
    </row>
    <row r="5" spans="1:23" ht="48.75" customHeight="1">
      <c r="A5" s="47" t="s">
        <v>12</v>
      </c>
      <c r="B5" s="48">
        <f>SUM(B6:B9)</f>
        <v>130039</v>
      </c>
      <c r="C5" s="48">
        <f t="shared" ref="C5:I5" si="0">SUM(C6:C9)</f>
        <v>90553</v>
      </c>
      <c r="D5" s="48">
        <f t="shared" si="0"/>
        <v>38483</v>
      </c>
      <c r="E5" s="48">
        <f t="shared" si="0"/>
        <v>675</v>
      </c>
      <c r="F5" s="48">
        <f t="shared" si="0"/>
        <v>328</v>
      </c>
      <c r="G5" s="49">
        <f t="shared" si="0"/>
        <v>18949</v>
      </c>
      <c r="H5" s="49">
        <f t="shared" si="0"/>
        <v>3379</v>
      </c>
      <c r="I5" s="49">
        <f t="shared" si="0"/>
        <v>15570</v>
      </c>
      <c r="J5" s="48">
        <f>SUM(K5:N5)</f>
        <v>10506</v>
      </c>
      <c r="K5" s="48">
        <f>SUM(K6:K9)</f>
        <v>6326</v>
      </c>
      <c r="L5" s="48">
        <f>SUM(L6:L9)</f>
        <v>2104</v>
      </c>
      <c r="M5" s="50">
        <f>SUM(M6:M9)</f>
        <v>886.36</v>
      </c>
      <c r="N5" s="50">
        <f>SUM(N6:N8)</f>
        <v>1189.6400000000001</v>
      </c>
      <c r="O5" s="51">
        <f>SUM(P5:R5)</f>
        <v>8828.91</v>
      </c>
      <c r="P5" s="51">
        <f t="shared" ref="P5" si="1">SUM(P6:P9)</f>
        <v>6327</v>
      </c>
      <c r="Q5" s="52">
        <f>SUM(Q6:Q8)</f>
        <v>1613</v>
      </c>
      <c r="R5" s="51">
        <f>SUM(R6:R9)</f>
        <v>888.91</v>
      </c>
      <c r="S5" s="51">
        <f>V5+W5</f>
        <v>487.45</v>
      </c>
      <c r="T5" s="53">
        <f>SUM(T6:T9)</f>
        <v>-1.00000000000028</v>
      </c>
      <c r="U5" s="51">
        <f>SUM(U6:U9)</f>
        <v>491</v>
      </c>
      <c r="V5" s="51">
        <f>T5+U5</f>
        <v>490</v>
      </c>
      <c r="W5" s="7">
        <f>SUM(W6:W9)</f>
        <v>-2.55000000000001</v>
      </c>
    </row>
    <row r="6" spans="1:23" ht="34.5" customHeight="1">
      <c r="A6" s="47" t="s">
        <v>13</v>
      </c>
      <c r="B6" s="23">
        <f>SUM(C6:F6)</f>
        <v>32094</v>
      </c>
      <c r="C6" s="54">
        <v>22514</v>
      </c>
      <c r="D6" s="55">
        <v>9364</v>
      </c>
      <c r="E6" s="55">
        <v>143</v>
      </c>
      <c r="F6" s="55">
        <v>73</v>
      </c>
      <c r="G6" s="56">
        <v>6197</v>
      </c>
      <c r="H6" s="57">
        <v>337</v>
      </c>
      <c r="I6" s="57">
        <v>5860</v>
      </c>
      <c r="J6" s="23">
        <f t="shared" ref="J6:J8" si="2">SUM(K6:N6)</f>
        <v>2632</v>
      </c>
      <c r="K6" s="27">
        <v>1547</v>
      </c>
      <c r="L6" s="58">
        <v>540</v>
      </c>
      <c r="M6" s="58">
        <v>218</v>
      </c>
      <c r="N6" s="58">
        <v>327</v>
      </c>
      <c r="O6" s="21">
        <f t="shared" ref="O6:O12" si="3">SUM(P6:R6)</f>
        <v>2173.6799999999998</v>
      </c>
      <c r="P6" s="21">
        <f>1424+85+39</f>
        <v>1548</v>
      </c>
      <c r="Q6" s="58">
        <v>411</v>
      </c>
      <c r="R6" s="21">
        <v>214.68</v>
      </c>
      <c r="S6" s="21">
        <f>V6+W6</f>
        <v>131.32</v>
      </c>
      <c r="T6" s="59">
        <f>K6-P6</f>
        <v>-1</v>
      </c>
      <c r="U6" s="21">
        <f>L6-Q6</f>
        <v>129</v>
      </c>
      <c r="V6" s="21">
        <f t="shared" ref="V6:V12" si="4">T6+U6</f>
        <v>128</v>
      </c>
      <c r="W6" s="6">
        <f>M6-R6</f>
        <v>3.3199999999999901</v>
      </c>
    </row>
    <row r="7" spans="1:23" ht="34.5" customHeight="1">
      <c r="A7" s="47" t="s">
        <v>14</v>
      </c>
      <c r="B7" s="23">
        <f>90880-B9</f>
        <v>84339</v>
      </c>
      <c r="C7" s="23">
        <f>63090-C9</f>
        <v>61082</v>
      </c>
      <c r="D7" s="23">
        <f>27118-D9</f>
        <v>22815</v>
      </c>
      <c r="E7" s="23">
        <f>452-E9</f>
        <v>262</v>
      </c>
      <c r="F7" s="23">
        <v>180</v>
      </c>
      <c r="G7" s="60">
        <f>12060-G9</f>
        <v>10701</v>
      </c>
      <c r="H7" s="61">
        <f>3042-H9</f>
        <v>2671</v>
      </c>
      <c r="I7" s="61">
        <f>9018-I9</f>
        <v>8030</v>
      </c>
      <c r="J7" s="30">
        <f t="shared" si="2"/>
        <v>6615.9669999999996</v>
      </c>
      <c r="K7" s="30">
        <f>4318-K9</f>
        <v>3921.127</v>
      </c>
      <c r="L7" s="31">
        <f>1479-139.08</f>
        <v>1339.92</v>
      </c>
      <c r="M7" s="31">
        <v>529.28</v>
      </c>
      <c r="N7" s="31">
        <v>825.64</v>
      </c>
      <c r="O7" s="21">
        <f t="shared" si="3"/>
        <v>5725.91</v>
      </c>
      <c r="P7" s="21">
        <f>3931+266-141.24</f>
        <v>4055.76</v>
      </c>
      <c r="Q7" s="58">
        <v>1135</v>
      </c>
      <c r="R7" s="21">
        <v>535.15</v>
      </c>
      <c r="S7" s="21">
        <f t="shared" ref="S7:S12" si="5">V7+W7</f>
        <v>64.417000000000002</v>
      </c>
      <c r="T7" s="59">
        <f t="shared" ref="T7:T12" si="6">K7-P7</f>
        <v>-134.63300000000001</v>
      </c>
      <c r="U7" s="59">
        <f t="shared" ref="U7:U8" si="7">L7-Q7</f>
        <v>204.92</v>
      </c>
      <c r="V7" s="21">
        <f t="shared" si="4"/>
        <v>70.287000000000006</v>
      </c>
      <c r="W7" s="8">
        <f>M7-R7</f>
        <v>-5.87</v>
      </c>
    </row>
    <row r="8" spans="1:23" ht="34.5" customHeight="1">
      <c r="A8" s="47" t="s">
        <v>15</v>
      </c>
      <c r="B8" s="23">
        <f>SUM(C8:F8)</f>
        <v>7065</v>
      </c>
      <c r="C8" s="23">
        <v>4949</v>
      </c>
      <c r="D8" s="23">
        <v>2001</v>
      </c>
      <c r="E8" s="23">
        <v>80</v>
      </c>
      <c r="F8" s="23">
        <v>35</v>
      </c>
      <c r="G8" s="60">
        <v>692</v>
      </c>
      <c r="H8" s="62"/>
      <c r="I8" s="62">
        <v>692</v>
      </c>
      <c r="J8" s="23">
        <f t="shared" si="2"/>
        <v>583</v>
      </c>
      <c r="K8" s="37">
        <v>461</v>
      </c>
      <c r="L8" s="34">
        <v>85</v>
      </c>
      <c r="M8" s="34">
        <v>0</v>
      </c>
      <c r="N8" s="34">
        <v>37</v>
      </c>
      <c r="O8" s="21">
        <f t="shared" si="3"/>
        <v>528</v>
      </c>
      <c r="P8" s="21">
        <f>434+19+8</f>
        <v>461</v>
      </c>
      <c r="Q8" s="58">
        <v>67</v>
      </c>
      <c r="R8" s="21"/>
      <c r="S8" s="21">
        <f t="shared" si="5"/>
        <v>18</v>
      </c>
      <c r="T8" s="59">
        <f t="shared" si="6"/>
        <v>0</v>
      </c>
      <c r="U8" s="59">
        <f t="shared" si="7"/>
        <v>18</v>
      </c>
      <c r="V8" s="21">
        <f t="shared" si="4"/>
        <v>18</v>
      </c>
      <c r="W8" s="8"/>
    </row>
    <row r="9" spans="1:23" ht="34.5" customHeight="1">
      <c r="A9" s="47" t="s">
        <v>16</v>
      </c>
      <c r="B9" s="23">
        <f>SUM(C9:F9)</f>
        <v>6541</v>
      </c>
      <c r="C9" s="63">
        <f>SUM(C10:C12)</f>
        <v>2008</v>
      </c>
      <c r="D9" s="63">
        <f t="shared" ref="D9:F9" si="8">SUM(D10:D12)</f>
        <v>4303</v>
      </c>
      <c r="E9" s="63">
        <f t="shared" si="8"/>
        <v>190</v>
      </c>
      <c r="F9" s="63">
        <f t="shared" si="8"/>
        <v>40</v>
      </c>
      <c r="G9" s="60">
        <v>1359</v>
      </c>
      <c r="H9" s="62">
        <f>SUM(H10:H12)</f>
        <v>371</v>
      </c>
      <c r="I9" s="62">
        <f>SUM(I10:I12)</f>
        <v>988</v>
      </c>
      <c r="J9" s="21">
        <v>675.03</v>
      </c>
      <c r="K9" s="21">
        <f>SUM(K10:K12)</f>
        <v>396.87299999999999</v>
      </c>
      <c r="L9" s="21">
        <v>139.08000000000001</v>
      </c>
      <c r="M9" s="21">
        <v>139.08000000000001</v>
      </c>
      <c r="N9" s="23"/>
      <c r="O9" s="21">
        <f t="shared" si="3"/>
        <v>401.32</v>
      </c>
      <c r="P9" s="21">
        <f>SUM(P10:P12)</f>
        <v>262.24</v>
      </c>
      <c r="Q9" s="21"/>
      <c r="R9" s="21">
        <f>SUM(R10:R12)</f>
        <v>139.08000000000001</v>
      </c>
      <c r="S9" s="21">
        <f t="shared" si="5"/>
        <v>273.71300000000002</v>
      </c>
      <c r="T9" s="59">
        <f t="shared" si="6"/>
        <v>134.63300000000001</v>
      </c>
      <c r="U9" s="59">
        <f>L9-Q91</f>
        <v>139.08000000000001</v>
      </c>
      <c r="V9" s="21">
        <f t="shared" si="4"/>
        <v>273.71300000000002</v>
      </c>
      <c r="W9" s="8"/>
    </row>
    <row r="10" spans="1:23" ht="34.5" customHeight="1">
      <c r="A10" s="47" t="s">
        <v>17</v>
      </c>
      <c r="B10" s="23">
        <v>2917</v>
      </c>
      <c r="C10" s="23">
        <v>2008</v>
      </c>
      <c r="D10" s="23">
        <v>909</v>
      </c>
      <c r="E10" s="23"/>
      <c r="F10" s="23"/>
      <c r="G10" s="60">
        <v>765</v>
      </c>
      <c r="H10" s="62">
        <v>371</v>
      </c>
      <c r="I10" s="62">
        <v>394</v>
      </c>
      <c r="J10" s="21">
        <v>230.73</v>
      </c>
      <c r="K10" s="21">
        <v>133.851</v>
      </c>
      <c r="L10" s="21">
        <v>48.442</v>
      </c>
      <c r="M10" s="21">
        <v>48.442</v>
      </c>
      <c r="N10" s="23"/>
      <c r="O10" s="21">
        <f t="shared" si="3"/>
        <v>104.44</v>
      </c>
      <c r="P10" s="21">
        <f>56</f>
        <v>56</v>
      </c>
      <c r="Q10" s="21"/>
      <c r="R10" s="21">
        <v>48.44</v>
      </c>
      <c r="S10" s="21">
        <f t="shared" si="5"/>
        <v>126.29300000000001</v>
      </c>
      <c r="T10" s="59">
        <f t="shared" si="6"/>
        <v>77.850999999999999</v>
      </c>
      <c r="U10" s="59">
        <f>L10-Q92</f>
        <v>48.442</v>
      </c>
      <c r="V10" s="21">
        <f t="shared" si="4"/>
        <v>126.29300000000001</v>
      </c>
      <c r="W10" s="8"/>
    </row>
    <row r="11" spans="1:23" ht="34.5" customHeight="1">
      <c r="A11" s="47" t="s">
        <v>18</v>
      </c>
      <c r="B11" s="23">
        <v>3394</v>
      </c>
      <c r="C11" s="23"/>
      <c r="D11" s="23">
        <v>3394</v>
      </c>
      <c r="E11" s="23"/>
      <c r="F11" s="23"/>
      <c r="G11" s="60">
        <v>594</v>
      </c>
      <c r="H11" s="62"/>
      <c r="I11" s="62">
        <v>594</v>
      </c>
      <c r="J11" s="21">
        <v>306.3</v>
      </c>
      <c r="K11" s="21">
        <v>180.22200000000001</v>
      </c>
      <c r="L11" s="21">
        <v>63.043999999999997</v>
      </c>
      <c r="M11" s="21">
        <v>63.043999999999997</v>
      </c>
      <c r="N11" s="23"/>
      <c r="O11" s="21">
        <f t="shared" si="3"/>
        <v>158.88</v>
      </c>
      <c r="P11" s="21">
        <f>65+30.84</f>
        <v>95.84</v>
      </c>
      <c r="Q11" s="21"/>
      <c r="R11" s="21">
        <v>63.04</v>
      </c>
      <c r="S11" s="21">
        <v>147.41999999999999</v>
      </c>
      <c r="T11" s="59">
        <f t="shared" si="6"/>
        <v>84.382000000000005</v>
      </c>
      <c r="U11" s="59">
        <f>L11-Q93</f>
        <v>63.043999999999997</v>
      </c>
      <c r="V11" s="21">
        <v>147.41999999999999</v>
      </c>
      <c r="W11" s="8"/>
    </row>
    <row r="12" spans="1:23" ht="34.5" customHeight="1">
      <c r="A12" s="47" t="s">
        <v>19</v>
      </c>
      <c r="B12" s="23">
        <f>SUM(C12:F12)</f>
        <v>230</v>
      </c>
      <c r="C12" s="23"/>
      <c r="D12" s="23"/>
      <c r="E12" s="23">
        <v>190</v>
      </c>
      <c r="F12" s="23">
        <v>40</v>
      </c>
      <c r="G12" s="60"/>
      <c r="H12" s="62"/>
      <c r="I12" s="62"/>
      <c r="J12" s="21">
        <v>138</v>
      </c>
      <c r="K12" s="21">
        <v>82.8</v>
      </c>
      <c r="L12" s="21">
        <v>27.6</v>
      </c>
      <c r="M12" s="21">
        <v>27.6</v>
      </c>
      <c r="N12" s="23"/>
      <c r="O12" s="21">
        <f t="shared" si="3"/>
        <v>138</v>
      </c>
      <c r="P12" s="21">
        <f>110.4</f>
        <v>110.4</v>
      </c>
      <c r="Q12" s="21"/>
      <c r="R12" s="21">
        <v>27.6</v>
      </c>
      <c r="S12" s="21">
        <f t="shared" si="5"/>
        <v>0</v>
      </c>
      <c r="T12" s="59">
        <f t="shared" si="6"/>
        <v>-27.6</v>
      </c>
      <c r="U12" s="59">
        <f>L12-Q94</f>
        <v>27.6</v>
      </c>
      <c r="V12" s="21">
        <f t="shared" si="4"/>
        <v>0</v>
      </c>
      <c r="W12" s="8"/>
    </row>
    <row r="13" spans="1:23" ht="24.95" customHeight="1">
      <c r="C13" s="4"/>
      <c r="D13" s="4"/>
      <c r="E13" s="4"/>
      <c r="F13" s="4"/>
      <c r="G13" s="4"/>
      <c r="H13" s="4"/>
      <c r="I13" s="4"/>
    </row>
  </sheetData>
  <mergeCells count="6">
    <mergeCell ref="A2:W2"/>
    <mergeCell ref="B3:F3"/>
    <mergeCell ref="G3:I3"/>
    <mergeCell ref="J3:N3"/>
    <mergeCell ref="O3:R3"/>
    <mergeCell ref="S3:W3"/>
  </mergeCells>
  <phoneticPr fontId="6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4"/>
  <sheetViews>
    <sheetView workbookViewId="0">
      <selection activeCell="L17" sqref="L17"/>
    </sheetView>
  </sheetViews>
  <sheetFormatPr defaultColWidth="7.5" defaultRowHeight="24.95" customHeight="1"/>
  <cols>
    <col min="1" max="1" width="9.5" customWidth="1"/>
    <col min="3" max="3" width="8" customWidth="1"/>
    <col min="4" max="5" width="8.75" customWidth="1"/>
    <col min="6" max="6" width="8.375" customWidth="1"/>
    <col min="7" max="7" width="8" customWidth="1"/>
    <col min="17" max="17" width="9.625" customWidth="1"/>
    <col min="18" max="18" width="6.625" hidden="1" customWidth="1"/>
    <col min="19" max="19" width="7.5" hidden="1" customWidth="1"/>
    <col min="20" max="20" width="7.875" customWidth="1"/>
    <col min="21" max="21" width="8.875" customWidth="1"/>
  </cols>
  <sheetData>
    <row r="1" spans="1:21" ht="24.95" customHeight="1">
      <c r="A1" s="20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44.25" customHeight="1">
      <c r="A2" s="120" t="s">
        <v>39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1" ht="24.95" customHeight="1">
      <c r="A3" s="124" t="s">
        <v>27</v>
      </c>
      <c r="B3" s="125" t="s">
        <v>40</v>
      </c>
      <c r="C3" s="128" t="s">
        <v>41</v>
      </c>
      <c r="D3" s="129"/>
      <c r="E3" s="129"/>
      <c r="F3" s="129"/>
      <c r="G3" s="130"/>
      <c r="H3" s="134" t="s">
        <v>42</v>
      </c>
      <c r="I3" s="135"/>
      <c r="J3" s="135"/>
      <c r="K3" s="135"/>
      <c r="L3" s="136"/>
      <c r="M3" s="140" t="s">
        <v>4</v>
      </c>
      <c r="N3" s="141"/>
      <c r="O3" s="141"/>
      <c r="P3" s="141"/>
      <c r="Q3" s="140" t="s">
        <v>5</v>
      </c>
      <c r="R3" s="141"/>
      <c r="S3" s="141"/>
      <c r="T3" s="141"/>
      <c r="U3" s="144"/>
    </row>
    <row r="4" spans="1:21" ht="24.95" customHeight="1">
      <c r="A4" s="124"/>
      <c r="B4" s="126"/>
      <c r="C4" s="131"/>
      <c r="D4" s="132"/>
      <c r="E4" s="132"/>
      <c r="F4" s="132"/>
      <c r="G4" s="133"/>
      <c r="H4" s="137"/>
      <c r="I4" s="138"/>
      <c r="J4" s="138"/>
      <c r="K4" s="138"/>
      <c r="L4" s="139"/>
      <c r="M4" s="142"/>
      <c r="N4" s="143"/>
      <c r="O4" s="143"/>
      <c r="P4" s="143"/>
      <c r="Q4" s="142"/>
      <c r="R4" s="143"/>
      <c r="S4" s="143"/>
      <c r="T4" s="143"/>
      <c r="U4" s="145"/>
    </row>
    <row r="5" spans="1:21" ht="24.95" customHeight="1">
      <c r="A5" s="124"/>
      <c r="B5" s="127"/>
      <c r="C5" s="2" t="s">
        <v>6</v>
      </c>
      <c r="D5" s="2" t="s">
        <v>31</v>
      </c>
      <c r="E5" s="2" t="s">
        <v>32</v>
      </c>
      <c r="F5" s="2" t="s">
        <v>33</v>
      </c>
      <c r="G5" s="2" t="s">
        <v>34</v>
      </c>
      <c r="H5" s="2" t="s">
        <v>37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37</v>
      </c>
      <c r="N5" s="2" t="s">
        <v>7</v>
      </c>
      <c r="O5" s="2" t="s">
        <v>8</v>
      </c>
      <c r="P5" s="2" t="s">
        <v>9</v>
      </c>
      <c r="Q5" s="2" t="s">
        <v>37</v>
      </c>
      <c r="R5" s="2" t="s">
        <v>7</v>
      </c>
      <c r="S5" s="2" t="s">
        <v>8</v>
      </c>
      <c r="T5" s="2" t="s">
        <v>11</v>
      </c>
      <c r="U5" s="2" t="s">
        <v>9</v>
      </c>
    </row>
    <row r="6" spans="1:21" ht="50.25" customHeight="1">
      <c r="A6" s="71" t="s">
        <v>12</v>
      </c>
      <c r="B6" s="72">
        <v>0.28000000000000003</v>
      </c>
      <c r="C6" s="73">
        <v>130039</v>
      </c>
      <c r="D6" s="73">
        <v>90553</v>
      </c>
      <c r="E6" s="73">
        <v>38483</v>
      </c>
      <c r="F6" s="73">
        <v>675</v>
      </c>
      <c r="G6" s="73">
        <v>328</v>
      </c>
      <c r="H6" s="74">
        <f>SUM(I6:L6)</f>
        <v>945</v>
      </c>
      <c r="I6" s="74">
        <f>SUM(I7:I10)</f>
        <v>470</v>
      </c>
      <c r="J6" s="74">
        <f t="shared" ref="J6:K6" si="0">SUM(J7:J10)</f>
        <v>244</v>
      </c>
      <c r="K6" s="74">
        <f t="shared" si="0"/>
        <v>96.1</v>
      </c>
      <c r="L6" s="74">
        <f>SUM(L7:L9)</f>
        <v>134.9</v>
      </c>
      <c r="M6" s="73">
        <f t="shared" ref="M6:M13" si="1">SUM(N6:P6)</f>
        <v>697</v>
      </c>
      <c r="N6" s="73">
        <f>SUM(N7:N10)</f>
        <v>470</v>
      </c>
      <c r="O6" s="73">
        <f>SUM(O7:O9)</f>
        <v>120</v>
      </c>
      <c r="P6" s="73">
        <f>SUM(P7:P10)</f>
        <v>107</v>
      </c>
      <c r="Q6" s="75">
        <f>T6+U6</f>
        <v>113.1</v>
      </c>
      <c r="R6" s="75">
        <f>I6-N6</f>
        <v>0</v>
      </c>
      <c r="S6" s="75">
        <f>J6-O6</f>
        <v>124</v>
      </c>
      <c r="T6" s="75">
        <f>R6+S6</f>
        <v>124</v>
      </c>
      <c r="U6" s="75">
        <f>SUM(U7:U10)</f>
        <v>-10.9</v>
      </c>
    </row>
    <row r="7" spans="1:21" ht="33" customHeight="1">
      <c r="A7" s="71" t="s">
        <v>13</v>
      </c>
      <c r="B7" s="72">
        <v>0.28000000000000003</v>
      </c>
      <c r="C7" s="64">
        <v>32094</v>
      </c>
      <c r="D7" s="54">
        <v>22514</v>
      </c>
      <c r="E7" s="55">
        <v>9364</v>
      </c>
      <c r="F7" s="55">
        <v>143</v>
      </c>
      <c r="G7" s="55">
        <v>73</v>
      </c>
      <c r="H7" s="76">
        <f>SUM(I7:L7)</f>
        <v>264</v>
      </c>
      <c r="I7" s="28">
        <v>131</v>
      </c>
      <c r="J7" s="65">
        <v>67</v>
      </c>
      <c r="K7" s="65">
        <v>26.4</v>
      </c>
      <c r="L7" s="65">
        <v>39.6</v>
      </c>
      <c r="M7" s="77">
        <f t="shared" si="1"/>
        <v>184</v>
      </c>
      <c r="N7" s="64">
        <v>131</v>
      </c>
      <c r="O7" s="58">
        <v>33</v>
      </c>
      <c r="P7" s="58">
        <v>20</v>
      </c>
      <c r="Q7" s="78">
        <f t="shared" ref="Q7:Q13" si="2">T7+U7</f>
        <v>40.4</v>
      </c>
      <c r="R7" s="78">
        <f t="shared" ref="R7:R13" si="3">I7-N7</f>
        <v>0</v>
      </c>
      <c r="S7" s="78">
        <f t="shared" ref="S7:S13" si="4">J7-O7</f>
        <v>34</v>
      </c>
      <c r="T7" s="78">
        <f t="shared" ref="T7:T13" si="5">R7+S7</f>
        <v>34</v>
      </c>
      <c r="U7" s="78">
        <f>K7-P7</f>
        <v>6.4</v>
      </c>
    </row>
    <row r="8" spans="1:21" ht="33" customHeight="1">
      <c r="A8" s="71" t="s">
        <v>14</v>
      </c>
      <c r="B8" s="72">
        <v>0.28000000000000003</v>
      </c>
      <c r="C8" s="64">
        <v>84339</v>
      </c>
      <c r="D8" s="66">
        <v>61082</v>
      </c>
      <c r="E8" s="67">
        <v>22815</v>
      </c>
      <c r="F8" s="67">
        <v>262</v>
      </c>
      <c r="G8" s="67">
        <v>180</v>
      </c>
      <c r="H8" s="76">
        <f>SUM(I8:L8)</f>
        <v>590</v>
      </c>
      <c r="I8" s="32">
        <v>293.5</v>
      </c>
      <c r="J8" s="33">
        <v>149.19999999999999</v>
      </c>
      <c r="K8" s="33">
        <v>59</v>
      </c>
      <c r="L8" s="33">
        <v>88.3</v>
      </c>
      <c r="M8" s="77">
        <f t="shared" si="1"/>
        <v>433.5</v>
      </c>
      <c r="N8" s="68">
        <v>315</v>
      </c>
      <c r="O8" s="34">
        <v>78</v>
      </c>
      <c r="P8" s="31">
        <v>40.5</v>
      </c>
      <c r="Q8" s="78">
        <f t="shared" si="2"/>
        <v>68.2</v>
      </c>
      <c r="R8" s="78">
        <f t="shared" si="3"/>
        <v>-21.5</v>
      </c>
      <c r="S8" s="78">
        <f t="shared" si="4"/>
        <v>71.2</v>
      </c>
      <c r="T8" s="78">
        <f t="shared" si="5"/>
        <v>49.7</v>
      </c>
      <c r="U8" s="78">
        <f t="shared" ref="U8:U13" si="6">K8-P8</f>
        <v>18.5</v>
      </c>
    </row>
    <row r="9" spans="1:21" ht="33" customHeight="1">
      <c r="A9" s="71" t="s">
        <v>15</v>
      </c>
      <c r="B9" s="72">
        <v>0.28000000000000003</v>
      </c>
      <c r="C9" s="64">
        <v>7065</v>
      </c>
      <c r="D9" s="66">
        <v>4949</v>
      </c>
      <c r="E9" s="67">
        <v>2001</v>
      </c>
      <c r="F9" s="67">
        <v>80</v>
      </c>
      <c r="G9" s="67">
        <v>35</v>
      </c>
      <c r="H9" s="76">
        <f>SUM(I9:L9)</f>
        <v>48</v>
      </c>
      <c r="I9" s="32">
        <v>24</v>
      </c>
      <c r="J9" s="33">
        <v>17</v>
      </c>
      <c r="K9" s="33">
        <v>0</v>
      </c>
      <c r="L9" s="33">
        <v>7</v>
      </c>
      <c r="M9" s="77">
        <f t="shared" si="1"/>
        <v>33</v>
      </c>
      <c r="N9" s="68">
        <v>24</v>
      </c>
      <c r="O9" s="34">
        <v>9</v>
      </c>
      <c r="P9" s="34"/>
      <c r="Q9" s="78">
        <f t="shared" si="2"/>
        <v>8</v>
      </c>
      <c r="R9" s="78">
        <f t="shared" si="3"/>
        <v>0</v>
      </c>
      <c r="S9" s="78">
        <f t="shared" si="4"/>
        <v>8</v>
      </c>
      <c r="T9" s="78">
        <f t="shared" si="5"/>
        <v>8</v>
      </c>
      <c r="U9" s="78">
        <f t="shared" si="6"/>
        <v>0</v>
      </c>
    </row>
    <row r="10" spans="1:21" ht="33" customHeight="1">
      <c r="A10" s="71" t="s">
        <v>16</v>
      </c>
      <c r="B10" s="72">
        <v>0.28000000000000003</v>
      </c>
      <c r="C10" s="64">
        <v>6541</v>
      </c>
      <c r="D10" s="77">
        <v>2008</v>
      </c>
      <c r="E10" s="77">
        <v>4303</v>
      </c>
      <c r="F10" s="77">
        <v>190</v>
      </c>
      <c r="G10" s="77">
        <v>40</v>
      </c>
      <c r="H10" s="76">
        <f>SUM(I10:L10)</f>
        <v>43</v>
      </c>
      <c r="I10" s="76">
        <f>SUM(I11:I13)</f>
        <v>21.5</v>
      </c>
      <c r="J10" s="76">
        <f>SUM(J11:J13)</f>
        <v>10.8</v>
      </c>
      <c r="K10" s="76">
        <f>SUM(K11:K13)</f>
        <v>10.7</v>
      </c>
      <c r="L10" s="76"/>
      <c r="M10" s="76">
        <f t="shared" si="1"/>
        <v>46.5</v>
      </c>
      <c r="N10" s="77"/>
      <c r="O10" s="79"/>
      <c r="P10" s="76">
        <f>SUM(P11:P13)</f>
        <v>46.5</v>
      </c>
      <c r="Q10" s="78">
        <f t="shared" si="2"/>
        <v>-3.5</v>
      </c>
      <c r="R10" s="78">
        <f t="shared" si="3"/>
        <v>21.5</v>
      </c>
      <c r="S10" s="78">
        <f t="shared" si="4"/>
        <v>10.8</v>
      </c>
      <c r="T10" s="78">
        <f t="shared" si="5"/>
        <v>32.299999999999997</v>
      </c>
      <c r="U10" s="78">
        <f t="shared" si="6"/>
        <v>-35.799999999999997</v>
      </c>
    </row>
    <row r="11" spans="1:21" ht="33" customHeight="1">
      <c r="A11" s="80" t="s">
        <v>17</v>
      </c>
      <c r="B11" s="81"/>
      <c r="C11" s="69">
        <v>2917</v>
      </c>
      <c r="D11" s="82">
        <v>2008</v>
      </c>
      <c r="E11" s="82">
        <v>909</v>
      </c>
      <c r="F11" s="82"/>
      <c r="G11" s="82"/>
      <c r="H11" s="83">
        <v>2</v>
      </c>
      <c r="I11" s="83">
        <v>1</v>
      </c>
      <c r="J11" s="83">
        <v>0.5</v>
      </c>
      <c r="K11" s="83">
        <v>0.5</v>
      </c>
      <c r="L11" s="83"/>
      <c r="M11" s="83">
        <f t="shared" si="1"/>
        <v>5.5</v>
      </c>
      <c r="N11" s="82"/>
      <c r="O11" s="84"/>
      <c r="P11" s="70">
        <v>5.5</v>
      </c>
      <c r="Q11" s="78">
        <f t="shared" si="2"/>
        <v>-3.5</v>
      </c>
      <c r="R11" s="78">
        <f t="shared" si="3"/>
        <v>1</v>
      </c>
      <c r="S11" s="78">
        <f t="shared" si="4"/>
        <v>0.5</v>
      </c>
      <c r="T11" s="78">
        <f t="shared" si="5"/>
        <v>1.5</v>
      </c>
      <c r="U11" s="78">
        <f t="shared" si="6"/>
        <v>-5</v>
      </c>
    </row>
    <row r="12" spans="1:21" ht="33" customHeight="1">
      <c r="A12" s="71" t="s">
        <v>18</v>
      </c>
      <c r="B12" s="72">
        <v>0.28000000000000003</v>
      </c>
      <c r="C12" s="64">
        <v>3394</v>
      </c>
      <c r="D12" s="77"/>
      <c r="E12" s="85">
        <v>3394</v>
      </c>
      <c r="F12" s="85"/>
      <c r="G12" s="77"/>
      <c r="H12" s="77">
        <f>(118*1250+210*625)/10000</f>
        <v>27.875</v>
      </c>
      <c r="I12" s="76">
        <v>14</v>
      </c>
      <c r="J12" s="76">
        <v>7</v>
      </c>
      <c r="K12" s="76">
        <v>7</v>
      </c>
      <c r="L12" s="76"/>
      <c r="M12" s="77">
        <f t="shared" si="1"/>
        <v>28</v>
      </c>
      <c r="N12" s="77"/>
      <c r="O12" s="79"/>
      <c r="P12" s="77">
        <v>28</v>
      </c>
      <c r="Q12" s="78">
        <f t="shared" si="2"/>
        <v>0</v>
      </c>
      <c r="R12" s="78">
        <f t="shared" si="3"/>
        <v>14</v>
      </c>
      <c r="S12" s="78">
        <f t="shared" si="4"/>
        <v>7</v>
      </c>
      <c r="T12" s="78">
        <f t="shared" si="5"/>
        <v>21</v>
      </c>
      <c r="U12" s="78">
        <f t="shared" si="6"/>
        <v>-21</v>
      </c>
    </row>
    <row r="13" spans="1:21" ht="33" customHeight="1">
      <c r="A13" s="71" t="s">
        <v>19</v>
      </c>
      <c r="B13" s="72"/>
      <c r="C13" s="64">
        <v>230</v>
      </c>
      <c r="D13" s="77"/>
      <c r="E13" s="77"/>
      <c r="F13" s="77">
        <v>190</v>
      </c>
      <c r="G13" s="77">
        <v>40</v>
      </c>
      <c r="H13" s="76">
        <v>13</v>
      </c>
      <c r="I13" s="76">
        <v>6.5</v>
      </c>
      <c r="J13" s="76">
        <v>3.3</v>
      </c>
      <c r="K13" s="76">
        <v>3.2</v>
      </c>
      <c r="L13" s="76"/>
      <c r="M13" s="77">
        <f t="shared" si="1"/>
        <v>13</v>
      </c>
      <c r="N13" s="77"/>
      <c r="O13" s="79"/>
      <c r="P13" s="77">
        <v>13</v>
      </c>
      <c r="Q13" s="78">
        <f t="shared" si="2"/>
        <v>0</v>
      </c>
      <c r="R13" s="78">
        <f t="shared" si="3"/>
        <v>6.5</v>
      </c>
      <c r="S13" s="78">
        <f t="shared" si="4"/>
        <v>3.3</v>
      </c>
      <c r="T13" s="78">
        <f t="shared" si="5"/>
        <v>9.8000000000000007</v>
      </c>
      <c r="U13" s="78">
        <f t="shared" si="6"/>
        <v>-9.8000000000000007</v>
      </c>
    </row>
    <row r="14" spans="1:21" ht="36" customHeight="1">
      <c r="A14" s="121" t="s">
        <v>49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3"/>
    </row>
  </sheetData>
  <mergeCells count="8">
    <mergeCell ref="A2:U2"/>
    <mergeCell ref="A14:U14"/>
    <mergeCell ref="A3:A5"/>
    <mergeCell ref="B3:B5"/>
    <mergeCell ref="C3:G4"/>
    <mergeCell ref="H3:L4"/>
    <mergeCell ref="M3:P4"/>
    <mergeCell ref="Q3:U4"/>
  </mergeCells>
  <phoneticPr fontId="6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13"/>
  <sheetViews>
    <sheetView workbookViewId="0">
      <selection activeCell="I15" sqref="I15"/>
    </sheetView>
  </sheetViews>
  <sheetFormatPr defaultColWidth="10.625" defaultRowHeight="24.95" customHeight="1"/>
  <cols>
    <col min="2" max="4" width="10.125" customWidth="1"/>
    <col min="5" max="5" width="10.125" style="1" customWidth="1"/>
    <col min="6" max="7" width="10.125" customWidth="1"/>
    <col min="8" max="8" width="10.125" style="1" customWidth="1"/>
    <col min="9" max="12" width="10.125" customWidth="1"/>
    <col min="13" max="13" width="10.125" style="1" customWidth="1"/>
  </cols>
  <sheetData>
    <row r="1" spans="1:20" ht="24.95" customHeight="1">
      <c r="A1" s="20" t="s">
        <v>43</v>
      </c>
    </row>
    <row r="2" spans="1:20" ht="38.25" customHeight="1">
      <c r="A2" s="146" t="s">
        <v>44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spans="1:20" ht="24.95" customHeight="1">
      <c r="A3" s="152" t="s">
        <v>27</v>
      </c>
      <c r="B3" s="147" t="s">
        <v>45</v>
      </c>
      <c r="C3" s="148"/>
      <c r="D3" s="148"/>
      <c r="E3" s="148"/>
      <c r="F3" s="148"/>
      <c r="G3" s="153" t="s">
        <v>4</v>
      </c>
      <c r="H3" s="154"/>
      <c r="I3" s="154"/>
      <c r="J3" s="154"/>
      <c r="K3" s="153" t="s">
        <v>5</v>
      </c>
      <c r="L3" s="154"/>
      <c r="M3" s="157"/>
    </row>
    <row r="4" spans="1:20" ht="24.95" customHeight="1">
      <c r="A4" s="152"/>
      <c r="B4" s="147" t="s">
        <v>46</v>
      </c>
      <c r="C4" s="148"/>
      <c r="D4" s="148"/>
      <c r="E4" s="148"/>
      <c r="F4" s="149"/>
      <c r="G4" s="155"/>
      <c r="H4" s="156"/>
      <c r="I4" s="156"/>
      <c r="J4" s="156"/>
      <c r="K4" s="155"/>
      <c r="L4" s="156"/>
      <c r="M4" s="158"/>
    </row>
    <row r="5" spans="1:20" ht="24.95" customHeight="1">
      <c r="A5" s="152"/>
      <c r="B5" s="95" t="s">
        <v>37</v>
      </c>
      <c r="C5" s="95" t="s">
        <v>7</v>
      </c>
      <c r="D5" s="95" t="s">
        <v>8</v>
      </c>
      <c r="E5" s="95" t="s">
        <v>9</v>
      </c>
      <c r="F5" s="95" t="s">
        <v>10</v>
      </c>
      <c r="G5" s="95" t="s">
        <v>37</v>
      </c>
      <c r="H5" s="95" t="s">
        <v>7</v>
      </c>
      <c r="I5" s="95" t="s">
        <v>8</v>
      </c>
      <c r="J5" s="96" t="s">
        <v>9</v>
      </c>
      <c r="K5" s="96" t="s">
        <v>37</v>
      </c>
      <c r="L5" s="96" t="s">
        <v>8</v>
      </c>
      <c r="M5" s="95" t="s">
        <v>9</v>
      </c>
    </row>
    <row r="6" spans="1:20" ht="39" customHeight="1">
      <c r="A6" s="86" t="s">
        <v>12</v>
      </c>
      <c r="B6" s="87">
        <f>SUM(B7:B10)</f>
        <v>2754</v>
      </c>
      <c r="C6" s="87">
        <f t="shared" ref="C6:E6" si="0">SUM(C7:C10)</f>
        <v>1349</v>
      </c>
      <c r="D6" s="87">
        <f t="shared" si="0"/>
        <v>712</v>
      </c>
      <c r="E6" s="88">
        <f t="shared" si="0"/>
        <v>271.60000000000002</v>
      </c>
      <c r="F6" s="88">
        <f>SUM(F7:F9)</f>
        <v>421.4</v>
      </c>
      <c r="G6" s="87">
        <f t="shared" ref="G6:G11" si="1">SUM(H6:J6)</f>
        <v>2410</v>
      </c>
      <c r="H6" s="87">
        <f t="shared" ref="H6:J6" si="2">SUM(H7:H10)</f>
        <v>1349</v>
      </c>
      <c r="I6" s="87">
        <f t="shared" si="2"/>
        <v>734</v>
      </c>
      <c r="J6" s="87">
        <f t="shared" si="2"/>
        <v>327</v>
      </c>
      <c r="K6" s="89">
        <f>SUM(L6:M6)</f>
        <v>-77.400000000000006</v>
      </c>
      <c r="L6" s="87">
        <f>SUM(L7:L9)</f>
        <v>-22</v>
      </c>
      <c r="M6" s="89">
        <f>SUM(M7:M10)</f>
        <v>-55.4</v>
      </c>
    </row>
    <row r="7" spans="1:20" ht="39" customHeight="1">
      <c r="A7" s="86" t="s">
        <v>13</v>
      </c>
      <c r="B7" s="29">
        <f>SUM(C7:F7)</f>
        <v>672</v>
      </c>
      <c r="C7" s="90">
        <v>286</v>
      </c>
      <c r="D7" s="90">
        <v>193</v>
      </c>
      <c r="E7" s="91">
        <v>77.2</v>
      </c>
      <c r="F7" s="91">
        <v>115.8</v>
      </c>
      <c r="G7" s="26">
        <f t="shared" si="1"/>
        <v>568</v>
      </c>
      <c r="H7" s="26">
        <v>286</v>
      </c>
      <c r="I7" s="26">
        <v>196</v>
      </c>
      <c r="J7" s="90">
        <v>86</v>
      </c>
      <c r="K7" s="92">
        <f>SUM(L7:M7)</f>
        <v>-11.8</v>
      </c>
      <c r="L7" s="26">
        <f>D7-I7</f>
        <v>-3</v>
      </c>
      <c r="M7" s="92">
        <f>E7-J7</f>
        <v>-8.8000000000000007</v>
      </c>
    </row>
    <row r="8" spans="1:20" ht="39" customHeight="1">
      <c r="A8" s="86" t="s">
        <v>14</v>
      </c>
      <c r="B8" s="29">
        <f t="shared" ref="B8:B11" si="3">SUM(C8:F8)</f>
        <v>1913</v>
      </c>
      <c r="C8" s="36">
        <v>956</v>
      </c>
      <c r="D8" s="36">
        <v>486</v>
      </c>
      <c r="E8" s="91">
        <v>179.4</v>
      </c>
      <c r="F8" s="91">
        <v>291.60000000000002</v>
      </c>
      <c r="G8" s="26">
        <f t="shared" si="1"/>
        <v>1685</v>
      </c>
      <c r="H8" s="26">
        <v>956</v>
      </c>
      <c r="I8" s="26">
        <v>503</v>
      </c>
      <c r="J8" s="36">
        <v>226</v>
      </c>
      <c r="K8" s="92">
        <f>SUM(L8:M8)</f>
        <v>-63.6</v>
      </c>
      <c r="L8" s="26">
        <f>D8-I8</f>
        <v>-17</v>
      </c>
      <c r="M8" s="92">
        <f>E8-J8</f>
        <v>-46.6</v>
      </c>
      <c r="N8" s="150"/>
      <c r="O8" s="150"/>
      <c r="P8" s="150"/>
      <c r="Q8" s="150"/>
      <c r="R8" s="150"/>
      <c r="S8" s="150"/>
      <c r="T8" s="150"/>
    </row>
    <row r="9" spans="1:20" ht="39" customHeight="1">
      <c r="A9" s="86" t="s">
        <v>47</v>
      </c>
      <c r="B9" s="29">
        <f t="shared" si="3"/>
        <v>154</v>
      </c>
      <c r="C9" s="36">
        <v>107</v>
      </c>
      <c r="D9" s="36">
        <v>33</v>
      </c>
      <c r="E9" s="36">
        <v>0</v>
      </c>
      <c r="F9" s="36">
        <v>14</v>
      </c>
      <c r="G9" s="26">
        <f t="shared" si="1"/>
        <v>142</v>
      </c>
      <c r="H9" s="26">
        <v>107</v>
      </c>
      <c r="I9" s="26">
        <v>35</v>
      </c>
      <c r="J9" s="36"/>
      <c r="K9" s="26">
        <f>SUM(L9:M9)</f>
        <v>-2</v>
      </c>
      <c r="L9" s="26">
        <f>D9-I9</f>
        <v>-2</v>
      </c>
      <c r="M9" s="93"/>
    </row>
    <row r="10" spans="1:20" ht="39" customHeight="1">
      <c r="A10" s="86" t="s">
        <v>16</v>
      </c>
      <c r="B10" s="29">
        <f t="shared" si="3"/>
        <v>15</v>
      </c>
      <c r="C10" s="38"/>
      <c r="D10" s="38"/>
      <c r="E10" s="39">
        <v>15</v>
      </c>
      <c r="F10" s="94"/>
      <c r="G10" s="26">
        <f t="shared" si="1"/>
        <v>15</v>
      </c>
      <c r="H10" s="39"/>
      <c r="I10" s="38"/>
      <c r="J10" s="38">
        <v>15</v>
      </c>
      <c r="K10" s="26"/>
      <c r="L10" s="93"/>
      <c r="M10" s="93"/>
      <c r="N10" s="151"/>
      <c r="O10" s="151"/>
      <c r="P10" s="151"/>
      <c r="Q10" s="151"/>
      <c r="R10" s="151"/>
      <c r="S10" s="151"/>
      <c r="T10" s="151"/>
    </row>
    <row r="11" spans="1:20" ht="39" customHeight="1">
      <c r="A11" s="86" t="s">
        <v>19</v>
      </c>
      <c r="B11" s="29">
        <f t="shared" si="3"/>
        <v>15</v>
      </c>
      <c r="C11" s="38"/>
      <c r="D11" s="38"/>
      <c r="E11" s="39">
        <v>15</v>
      </c>
      <c r="F11" s="94"/>
      <c r="G11" s="26">
        <f t="shared" si="1"/>
        <v>15</v>
      </c>
      <c r="H11" s="39"/>
      <c r="I11" s="94"/>
      <c r="J11" s="38">
        <v>15</v>
      </c>
      <c r="K11" s="26"/>
      <c r="L11" s="93"/>
      <c r="M11" s="93"/>
    </row>
    <row r="13" spans="1:20" ht="24.95" customHeight="1">
      <c r="C13" s="20"/>
    </row>
  </sheetData>
  <mergeCells count="8">
    <mergeCell ref="A2:M2"/>
    <mergeCell ref="B3:F3"/>
    <mergeCell ref="B4:F4"/>
    <mergeCell ref="N8:T8"/>
    <mergeCell ref="N10:T10"/>
    <mergeCell ref="A3:A5"/>
    <mergeCell ref="G3:J4"/>
    <mergeCell ref="K3:M4"/>
  </mergeCells>
  <phoneticPr fontId="6" type="noConversion"/>
  <printOptions horizontalCentered="1"/>
  <pageMargins left="0.70833333333333304" right="0.70833333333333304" top="0.74791666666666701" bottom="0.74791666666666701" header="0.31458333333333299" footer="0.314583333333332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分配总表</vt:lpstr>
      <vt:lpstr>测算总表</vt:lpstr>
      <vt:lpstr>公用经费</vt:lpstr>
      <vt:lpstr>生活补助测算</vt:lpstr>
      <vt:lpstr>校舍测算</vt:lpstr>
      <vt:lpstr>校舍测算!Print_Area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2021-01-04T04:07:35Z</cp:lastPrinted>
  <dcterms:created xsi:type="dcterms:W3CDTF">2018-07-26T06:55:00Z</dcterms:created>
  <dcterms:modified xsi:type="dcterms:W3CDTF">2021-01-04T04:07:40Z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